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charts/chart1.xml" ContentType="application/vnd.openxmlformats-officedocument.drawingml.chart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ituunekat\Desktop\"/>
    </mc:Choice>
  </mc:AlternateContent>
  <xr:revisionPtr revIDLastSave="0" documentId="8_{8B850B33-F984-4B99-8D6A-5B8C5B84CB83}" xr6:coauthVersionLast="47" xr6:coauthVersionMax="47" xr10:uidLastSave="{00000000-0000-0000-0000-000000000000}"/>
  <workbookProtection workbookAlgorithmName="SHA-512" workbookHashValue="DiLuLJCYgdYSq+Bb1zU/LAGOtJi1Dh3y6ZmS1Wido4og6sgI3yPXKvTLM5xjPl0BtOVp9A2RuHkfyvuZW5JndQ==" workbookSaltValue="Ror2I5uTSv3x9+kdSoeCLg==" workbookSpinCount="100000" lockStructure="1"/>
  <bookViews>
    <workbookView xWindow="-108" yWindow="-108" windowWidth="30936" windowHeight="16896" tabRatio="740" xr2:uid="{00000000-000D-0000-FFFF-FFFF00000000}"/>
  </bookViews>
  <sheets>
    <sheet name="OHJE" sheetId="31" r:id="rId1"/>
    <sheet name="1. T1 INVESTOINTISUUN." sheetId="26" r:id="rId2"/>
    <sheet name="AT Kassa" sheetId="33" state="hidden" r:id="rId3"/>
    <sheet name="2. T7 LAINAT" sheetId="28" r:id="rId4"/>
    <sheet name="3. E1 KUSTANNUKSET" sheetId="1" r:id="rId5"/>
    <sheet name="4. E2 LIIKEVAIHTO" sheetId="2" r:id="rId6"/>
    <sheet name="AT1 Avustus, alv" sheetId="22" state="hidden" r:id="rId7"/>
    <sheet name="AT2 Lainat, alv" sheetId="29" state="hidden" r:id="rId8"/>
    <sheet name="5. T4 RAHOITUSSUUN." sheetId="36" r:id="rId9"/>
    <sheet name="6. T3 TASE" sheetId="32" r:id="rId10"/>
    <sheet name="7. T2 TULOSSUUN." sheetId="20" r:id="rId11"/>
    <sheet name="8. T5 KASSABUDJETTI" sheetId="30" r:id="rId12"/>
    <sheet name="Tulostussivu" sheetId="34" r:id="rId13"/>
    <sheet name="Kaaviot" sheetId="35" state="hidden" r:id="rId14"/>
  </sheets>
  <externalReferences>
    <externalReference r:id="rId15"/>
  </externalReferences>
  <definedNames>
    <definedName name="_3_2010" localSheetId="8">'[1]3. E1 KUSTANNUKSET'!#REF!</definedName>
    <definedName name="_3_2010">'3. E1 KUSTANNUKSET'!#REF!</definedName>
    <definedName name="_3_2012">'3. E1 KUSTANNUKSET'!$F$8</definedName>
    <definedName name="Rahapalkat__TyEL_työntekijät" localSheetId="8">'[1]3. E1 KUSTANNUKSET'!#REF!</definedName>
    <definedName name="Rahapalkat__TyEL_työntekijät">'3. E1 KUSTANNUKSET'!#REF!</definedName>
    <definedName name="Teksti37" localSheetId="4">'3. E1 KUSTANNUKSET'!$D$6</definedName>
    <definedName name="Teksti38" localSheetId="4">'3. E1 KUSTANNUKSET'!$D$8</definedName>
    <definedName name="Teksti39" localSheetId="4">'3. E1 KUSTANNUKSET'!$F$8</definedName>
    <definedName name="Teksti39">#REF!</definedName>
    <definedName name="_xlnm.Print_Area" localSheetId="1">'1. T1 INVESTOINTISUUN.'!$B$3:$S$65</definedName>
    <definedName name="_xlnm.Print_Area" localSheetId="3">'2. T7 LAINAT'!$B$2:$Q$51</definedName>
    <definedName name="_xlnm.Print_Area" localSheetId="4">'3. E1 KUSTANNUKSET'!$B$2:$X$131</definedName>
    <definedName name="_xlnm.Print_Area" localSheetId="5">'4. E2 LIIKEVAIHTO'!$B$2:$V$71</definedName>
    <definedName name="_xlnm.Print_Area" localSheetId="8">'5. T4 RAHOITUSSUUN.'!$B$2:$T$63</definedName>
    <definedName name="_xlnm.Print_Area" localSheetId="9">'6. T3 TASE'!$B$2:$S$101</definedName>
    <definedName name="_xlnm.Print_Area" localSheetId="10">'7. T2 TULOSSUUN.'!$B$1:$AD$36</definedName>
    <definedName name="_xlnm.Print_Area" localSheetId="11">'8. T5 KASSABUDJETTI'!$B$12:$S$106</definedName>
    <definedName name="_xlnm.Print_Area" localSheetId="0">OHJE!$A$2:$F$22</definedName>
    <definedName name="_xlnm.Print_Area" localSheetId="12">Tulostussivu!$B$2:$R$322</definedName>
    <definedName name="_xlnm.Print_Titles" localSheetId="4">'3. E1 KUSTANNUKSET'!$2:$9</definedName>
    <definedName name="_xlnm.Print_Titles" localSheetId="9">'6. T3 TASE'!$2:$9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94" i="32" l="1"/>
  <c r="F14" i="2"/>
  <c r="J13" i="28"/>
  <c r="G17" i="32"/>
  <c r="K56" i="26"/>
  <c r="B36" i="20"/>
  <c r="B164" i="34"/>
  <c r="B81" i="34"/>
  <c r="B250" i="34"/>
  <c r="B322" i="34"/>
  <c r="B321" i="34"/>
  <c r="B249" i="34"/>
  <c r="B163" i="34"/>
  <c r="B80" i="34"/>
  <c r="F23" i="1"/>
  <c r="L7" i="34" l="1"/>
  <c r="B9" i="34"/>
  <c r="B7" i="34"/>
  <c r="B218" i="34"/>
  <c r="B217" i="34"/>
  <c r="B216" i="34"/>
  <c r="B215" i="34"/>
  <c r="B212" i="34"/>
  <c r="B211" i="34"/>
  <c r="B210" i="34"/>
  <c r="B209" i="34"/>
  <c r="B207" i="34"/>
  <c r="B206" i="34"/>
  <c r="B205" i="34"/>
  <c r="B204" i="34"/>
  <c r="B202" i="34"/>
  <c r="B201" i="34"/>
  <c r="B200" i="34"/>
  <c r="B199" i="34"/>
  <c r="B197" i="34"/>
  <c r="B196" i="34"/>
  <c r="B195" i="34"/>
  <c r="B194" i="34"/>
  <c r="B84" i="34" l="1"/>
  <c r="B167" i="34"/>
  <c r="B255" i="34"/>
  <c r="I26" i="34"/>
  <c r="J26" i="34"/>
  <c r="H26" i="34"/>
  <c r="G26" i="34"/>
  <c r="C26" i="34"/>
  <c r="J22" i="34"/>
  <c r="I22" i="34"/>
  <c r="H22" i="34"/>
  <c r="H24" i="34"/>
  <c r="I24" i="34"/>
  <c r="J24" i="34"/>
  <c r="G22" i="34"/>
  <c r="S64" i="30"/>
  <c r="N35" i="20"/>
  <c r="J62" i="36"/>
  <c r="H70" i="2"/>
  <c r="K133" i="1"/>
  <c r="Q50" i="28"/>
  <c r="I64" i="26"/>
  <c r="G25" i="30"/>
  <c r="AK30" i="30"/>
  <c r="E34" i="22"/>
  <c r="Q156" i="34"/>
  <c r="O156" i="34"/>
  <c r="M156" i="34"/>
  <c r="K156" i="34"/>
  <c r="Q153" i="34"/>
  <c r="O153" i="34"/>
  <c r="M153" i="34"/>
  <c r="K153" i="34"/>
  <c r="Q152" i="34"/>
  <c r="O152" i="34"/>
  <c r="M152" i="34"/>
  <c r="K152" i="34"/>
  <c r="K149" i="34"/>
  <c r="K147" i="34"/>
  <c r="Q151" i="34"/>
  <c r="O151" i="34"/>
  <c r="M151" i="34"/>
  <c r="K151" i="34"/>
  <c r="K150" i="34"/>
  <c r="Q147" i="34"/>
  <c r="O147" i="34"/>
  <c r="M147" i="34"/>
  <c r="C156" i="34"/>
  <c r="C155" i="34"/>
  <c r="C154" i="34"/>
  <c r="C153" i="34"/>
  <c r="C152" i="34"/>
  <c r="C151" i="34"/>
  <c r="C150" i="34"/>
  <c r="C149" i="34"/>
  <c r="C148" i="34"/>
  <c r="C147" i="34"/>
  <c r="C146" i="34"/>
  <c r="J73" i="32" l="1"/>
  <c r="I73" i="32"/>
  <c r="H73" i="32"/>
  <c r="G73" i="32" l="1"/>
  <c r="L73" i="32" l="1"/>
  <c r="K44" i="28" l="1"/>
  <c r="H44" i="28"/>
  <c r="G101" i="30"/>
  <c r="Q44" i="28" l="1"/>
  <c r="N44" i="28"/>
  <c r="D17" i="1" l="1"/>
  <c r="J6" i="28"/>
  <c r="F6" i="28"/>
  <c r="U57" i="30" l="1"/>
  <c r="F13" i="28"/>
  <c r="AR30" i="30" l="1"/>
  <c r="AS30" i="30"/>
  <c r="AQ31" i="30"/>
  <c r="AJ32" i="30"/>
  <c r="AJ31" i="30"/>
  <c r="AC31" i="30"/>
  <c r="AO31" i="30"/>
  <c r="AH31" i="30"/>
  <c r="AA31" i="30"/>
  <c r="G6" i="36" l="1"/>
  <c r="B8" i="36"/>
  <c r="H10" i="36"/>
  <c r="I10" i="36"/>
  <c r="G10" i="36"/>
  <c r="D65" i="1"/>
  <c r="C179" i="34" l="1"/>
  <c r="C177" i="34"/>
  <c r="C181" i="34"/>
  <c r="C185" i="34"/>
  <c r="C184" i="34"/>
  <c r="C183" i="34"/>
  <c r="C182" i="34"/>
  <c r="C180" i="34"/>
  <c r="C178" i="34" a="1"/>
  <c r="C178" i="34" s="1"/>
  <c r="C175" i="34"/>
  <c r="C176" i="34"/>
  <c r="C174" i="34"/>
  <c r="C173" i="34"/>
  <c r="C172" i="34"/>
  <c r="K181" i="34" l="1"/>
  <c r="M181" i="34"/>
  <c r="K179" i="34"/>
  <c r="Q176" i="34"/>
  <c r="O181" i="34"/>
  <c r="Q181" i="34"/>
  <c r="Q175" i="34"/>
  <c r="O175" i="34"/>
  <c r="O176" i="34"/>
  <c r="M176" i="34"/>
  <c r="M175" i="34"/>
  <c r="K175" i="34"/>
  <c r="K176" i="34"/>
  <c r="K173" i="34"/>
  <c r="K157" i="34"/>
  <c r="H81" i="32"/>
  <c r="I81" i="32"/>
  <c r="J81" i="32"/>
  <c r="G81" i="32"/>
  <c r="G59" i="32"/>
  <c r="H46" i="32"/>
  <c r="I46" i="32"/>
  <c r="J46" i="32"/>
  <c r="G46" i="32"/>
  <c r="G45" i="32"/>
  <c r="H43" i="32"/>
  <c r="I43" i="32"/>
  <c r="J43" i="32"/>
  <c r="G43" i="32"/>
  <c r="G40" i="32"/>
  <c r="Q6" i="36"/>
  <c r="T15" i="36"/>
  <c r="S15" i="36"/>
  <c r="R15" i="36"/>
  <c r="Q15" i="36"/>
  <c r="B63" i="36"/>
  <c r="B62" i="36"/>
  <c r="H40" i="36"/>
  <c r="M158" i="34" s="1"/>
  <c r="I40" i="36"/>
  <c r="O158" i="34" s="1"/>
  <c r="J40" i="36"/>
  <c r="Q158" i="34" s="1"/>
  <c r="G40" i="36"/>
  <c r="K158" i="34" s="1"/>
  <c r="G29" i="36"/>
  <c r="H16" i="36"/>
  <c r="M137" i="34" s="1"/>
  <c r="I16" i="36"/>
  <c r="O137" i="34" s="1"/>
  <c r="J16" i="36"/>
  <c r="Q137" i="34" s="1"/>
  <c r="G16" i="36"/>
  <c r="K137" i="34" s="1"/>
  <c r="J56" i="36"/>
  <c r="I56" i="36"/>
  <c r="H56" i="36"/>
  <c r="H54" i="36"/>
  <c r="H45" i="32" s="1"/>
  <c r="J50" i="36"/>
  <c r="I50" i="36"/>
  <c r="H50" i="36"/>
  <c r="Q49" i="36"/>
  <c r="H48" i="36"/>
  <c r="H40" i="32" s="1"/>
  <c r="J45" i="36"/>
  <c r="S10" i="36"/>
  <c r="R10" i="36"/>
  <c r="G45" i="36"/>
  <c r="L8" i="36"/>
  <c r="I48" i="36" l="1"/>
  <c r="M173" i="34"/>
  <c r="I54" i="36"/>
  <c r="M179" i="34"/>
  <c r="H45" i="36"/>
  <c r="Q10" i="36"/>
  <c r="I45" i="36"/>
  <c r="J48" i="36" l="1"/>
  <c r="O173" i="34"/>
  <c r="I40" i="32"/>
  <c r="O179" i="34"/>
  <c r="I45" i="32"/>
  <c r="J54" i="36"/>
  <c r="S56" i="30"/>
  <c r="F14" i="28"/>
  <c r="I21" i="28"/>
  <c r="Q173" i="34" l="1"/>
  <c r="J40" i="32"/>
  <c r="J45" i="32"/>
  <c r="Q179" i="34"/>
  <c r="F29" i="1"/>
  <c r="H23" i="1"/>
  <c r="J23" i="1" s="1"/>
  <c r="F16" i="1"/>
  <c r="H29" i="1" l="1"/>
  <c r="J29" i="1" s="1"/>
  <c r="AQ32" i="30"/>
  <c r="H16" i="1"/>
  <c r="J16" i="1" s="1"/>
  <c r="AC32" i="30"/>
  <c r="S32" i="30"/>
  <c r="S46" i="30"/>
  <c r="S48" i="30"/>
  <c r="S49" i="30"/>
  <c r="S30" i="30"/>
  <c r="F13" i="1" l="1"/>
  <c r="U58" i="30" l="1"/>
  <c r="G58" i="30" l="1"/>
  <c r="S58" i="30" s="1"/>
  <c r="T58" i="30" s="1"/>
  <c r="G57" i="30"/>
  <c r="S57" i="30" s="1"/>
  <c r="T57" i="30" s="1"/>
  <c r="G69" i="32" l="1"/>
  <c r="G77" i="32"/>
  <c r="G19" i="36" s="1"/>
  <c r="K140" i="34" s="1"/>
  <c r="H40" i="28"/>
  <c r="C42" i="28" l="1"/>
  <c r="F223" i="34"/>
  <c r="H78" i="32"/>
  <c r="I223" i="34" l="1"/>
  <c r="D223" i="34"/>
  <c r="C32" i="28"/>
  <c r="D213" i="34" s="1"/>
  <c r="I18" i="28" l="1"/>
  <c r="O6" i="28" l="1"/>
  <c r="F10" i="28"/>
  <c r="L9" i="28"/>
  <c r="I9" i="28"/>
  <c r="D221" i="34" l="1"/>
  <c r="AC19" i="29" l="1"/>
  <c r="AC18" i="29"/>
  <c r="W15" i="29"/>
  <c r="R228" i="34" l="1"/>
  <c r="O228" i="34"/>
  <c r="L228" i="34"/>
  <c r="I228" i="34"/>
  <c r="I226" i="34"/>
  <c r="R226" i="34"/>
  <c r="O226" i="34"/>
  <c r="L226" i="34"/>
  <c r="I221" i="34"/>
  <c r="F226" i="34"/>
  <c r="F225" i="34"/>
  <c r="F221" i="34"/>
  <c r="P217" i="34"/>
  <c r="P216" i="34"/>
  <c r="P215" i="34"/>
  <c r="O218" i="34"/>
  <c r="N218" i="34"/>
  <c r="M218" i="34"/>
  <c r="M216" i="34"/>
  <c r="M215" i="34"/>
  <c r="L218" i="34"/>
  <c r="K218" i="34"/>
  <c r="J218" i="34"/>
  <c r="L217" i="34"/>
  <c r="K217" i="34"/>
  <c r="J217" i="34"/>
  <c r="J215" i="34"/>
  <c r="Q212" i="34"/>
  <c r="Q211" i="34"/>
  <c r="Q210" i="34"/>
  <c r="Q209" i="34"/>
  <c r="O212" i="34"/>
  <c r="N212" i="34"/>
  <c r="M212" i="34"/>
  <c r="O211" i="34"/>
  <c r="N211" i="34"/>
  <c r="M211" i="34"/>
  <c r="O210" i="34"/>
  <c r="N210" i="34"/>
  <c r="M210" i="34"/>
  <c r="O209" i="34"/>
  <c r="N209" i="34"/>
  <c r="M209" i="34"/>
  <c r="L212" i="34"/>
  <c r="K212" i="34"/>
  <c r="J212" i="34"/>
  <c r="L211" i="34"/>
  <c r="K211" i="34"/>
  <c r="J211" i="34"/>
  <c r="L210" i="34"/>
  <c r="K210" i="34"/>
  <c r="J210" i="34"/>
  <c r="L209" i="34"/>
  <c r="K209" i="34"/>
  <c r="J209" i="34"/>
  <c r="P207" i="34"/>
  <c r="P206" i="34"/>
  <c r="P205" i="34"/>
  <c r="P204" i="34"/>
  <c r="N207" i="34"/>
  <c r="N206" i="34"/>
  <c r="N205" i="34"/>
  <c r="N204" i="34"/>
  <c r="L207" i="34"/>
  <c r="K207" i="34"/>
  <c r="J207" i="34"/>
  <c r="L206" i="34"/>
  <c r="K206" i="34"/>
  <c r="J206" i="34"/>
  <c r="L205" i="34"/>
  <c r="K205" i="34"/>
  <c r="J205" i="34"/>
  <c r="L204" i="34"/>
  <c r="K204" i="34"/>
  <c r="J204" i="34"/>
  <c r="P202" i="34"/>
  <c r="P201" i="34"/>
  <c r="P200" i="34"/>
  <c r="P199" i="34"/>
  <c r="M202" i="34"/>
  <c r="M201" i="34"/>
  <c r="M200" i="34"/>
  <c r="M199" i="34"/>
  <c r="K202" i="34"/>
  <c r="K201" i="34"/>
  <c r="K200" i="34"/>
  <c r="K199" i="34"/>
  <c r="P197" i="34"/>
  <c r="P196" i="34"/>
  <c r="P195" i="34"/>
  <c r="P194" i="34"/>
  <c r="M197" i="34"/>
  <c r="M196" i="34"/>
  <c r="M195" i="34"/>
  <c r="M194" i="34"/>
  <c r="J197" i="34"/>
  <c r="J196" i="34"/>
  <c r="J195" i="34"/>
  <c r="J194" i="34"/>
  <c r="I218" i="34"/>
  <c r="H218" i="34"/>
  <c r="G218" i="34"/>
  <c r="I217" i="34"/>
  <c r="H217" i="34"/>
  <c r="G217" i="34"/>
  <c r="I216" i="34"/>
  <c r="H216" i="34"/>
  <c r="G216" i="34"/>
  <c r="I212" i="34"/>
  <c r="H212" i="34"/>
  <c r="G212" i="34"/>
  <c r="I211" i="34"/>
  <c r="H211" i="34"/>
  <c r="G211" i="34"/>
  <c r="I210" i="34"/>
  <c r="H210" i="34"/>
  <c r="G210" i="34"/>
  <c r="I209" i="34"/>
  <c r="H209" i="34"/>
  <c r="G209" i="34"/>
  <c r="I207" i="34"/>
  <c r="H207" i="34"/>
  <c r="G207" i="34"/>
  <c r="I206" i="34"/>
  <c r="H206" i="34"/>
  <c r="G206" i="34"/>
  <c r="I205" i="34"/>
  <c r="H205" i="34"/>
  <c r="G205" i="34"/>
  <c r="I204" i="34"/>
  <c r="H204" i="34"/>
  <c r="G204" i="34"/>
  <c r="I202" i="34"/>
  <c r="H202" i="34"/>
  <c r="G202" i="34"/>
  <c r="I201" i="34"/>
  <c r="H201" i="34"/>
  <c r="G201" i="34"/>
  <c r="I200" i="34"/>
  <c r="H200" i="34"/>
  <c r="G200" i="34"/>
  <c r="I199" i="34"/>
  <c r="H199" i="34"/>
  <c r="G199" i="34"/>
  <c r="H197" i="34"/>
  <c r="H196" i="34"/>
  <c r="H195" i="34"/>
  <c r="H194" i="34"/>
  <c r="F218" i="34"/>
  <c r="E218" i="34"/>
  <c r="F217" i="34"/>
  <c r="E217" i="34"/>
  <c r="F216" i="34"/>
  <c r="E216" i="34"/>
  <c r="E215" i="34"/>
  <c r="F215" i="34"/>
  <c r="F212" i="34"/>
  <c r="E212" i="34"/>
  <c r="F211" i="34"/>
  <c r="E211" i="34"/>
  <c r="F210" i="34"/>
  <c r="E210" i="34"/>
  <c r="F209" i="34"/>
  <c r="E209" i="34"/>
  <c r="F207" i="34"/>
  <c r="E207" i="34"/>
  <c r="F206" i="34"/>
  <c r="E206" i="34"/>
  <c r="F205" i="34"/>
  <c r="E205" i="34"/>
  <c r="F204" i="34"/>
  <c r="E204" i="34"/>
  <c r="F202" i="34"/>
  <c r="E202" i="34"/>
  <c r="F201" i="34"/>
  <c r="E201" i="34"/>
  <c r="F200" i="34"/>
  <c r="E200" i="34"/>
  <c r="F199" i="34"/>
  <c r="E199" i="34"/>
  <c r="F197" i="34"/>
  <c r="E197" i="34"/>
  <c r="F196" i="34"/>
  <c r="E196" i="34"/>
  <c r="F195" i="34"/>
  <c r="E195" i="34"/>
  <c r="F194" i="34"/>
  <c r="E194" i="34"/>
  <c r="D218" i="34"/>
  <c r="D217" i="34"/>
  <c r="D216" i="34"/>
  <c r="D215" i="34"/>
  <c r="D212" i="34"/>
  <c r="D211" i="34"/>
  <c r="D210" i="34"/>
  <c r="D209" i="34"/>
  <c r="D207" i="34"/>
  <c r="D206" i="34"/>
  <c r="D205" i="34"/>
  <c r="D204" i="34"/>
  <c r="D202" i="34"/>
  <c r="D201" i="34"/>
  <c r="D200" i="34"/>
  <c r="D199" i="34"/>
  <c r="D197" i="34"/>
  <c r="D196" i="34"/>
  <c r="D195" i="34"/>
  <c r="D194" i="34"/>
  <c r="L225" i="34" l="1"/>
  <c r="H34" i="36"/>
  <c r="O28" i="28"/>
  <c r="P209" i="34" s="1"/>
  <c r="D46" i="1" l="1"/>
  <c r="B11" i="34" l="1"/>
  <c r="B5" i="20"/>
  <c r="G5" i="20"/>
  <c r="F6" i="32"/>
  <c r="F5" i="2"/>
  <c r="D5" i="1"/>
  <c r="B6" i="28"/>
  <c r="B6" i="32" l="1"/>
  <c r="B6" i="36"/>
  <c r="L6" i="36" s="1"/>
  <c r="G48" i="34"/>
  <c r="H48" i="34"/>
  <c r="I48" i="34"/>
  <c r="J48" i="34"/>
  <c r="I33" i="20" l="1"/>
  <c r="K33" i="20" s="1"/>
  <c r="M33" i="20" s="1"/>
  <c r="F31" i="22" l="1"/>
  <c r="G31" i="22"/>
  <c r="H31" i="22"/>
  <c r="E31" i="22"/>
  <c r="C31" i="22"/>
  <c r="H16" i="22"/>
  <c r="G16" i="22"/>
  <c r="F16" i="22"/>
  <c r="E16" i="22"/>
  <c r="C16" i="22"/>
  <c r="Q77" i="34" l="1"/>
  <c r="O77" i="34"/>
  <c r="M77" i="34"/>
  <c r="H77" i="32" l="1"/>
  <c r="K40" i="28" l="1"/>
  <c r="L221" i="34" s="1"/>
  <c r="H19" i="36"/>
  <c r="M140" i="34" s="1"/>
  <c r="H38" i="36"/>
  <c r="AI24" i="29"/>
  <c r="N45" i="34"/>
  <c r="N46" i="34"/>
  <c r="N47" i="34"/>
  <c r="N44" i="34"/>
  <c r="O45" i="34"/>
  <c r="O46" i="34"/>
  <c r="O47" i="34"/>
  <c r="O44" i="34"/>
  <c r="L19" i="34" l="1"/>
  <c r="L21" i="34"/>
  <c r="L23" i="34"/>
  <c r="L25" i="34"/>
  <c r="L27" i="34"/>
  <c r="L29" i="34"/>
  <c r="L31" i="34"/>
  <c r="L32" i="34"/>
  <c r="L33" i="34"/>
  <c r="U47" i="30" l="1"/>
  <c r="E40" i="26" l="1"/>
  <c r="E60" i="26" s="1"/>
  <c r="I57" i="26"/>
  <c r="K48" i="34" s="1"/>
  <c r="I34" i="36" l="1"/>
  <c r="F54" i="1"/>
  <c r="R225" i="34" l="1"/>
  <c r="J34" i="36"/>
  <c r="O225" i="34"/>
  <c r="K53" i="26"/>
  <c r="K52" i="26"/>
  <c r="H71" i="32" l="1"/>
  <c r="I71" i="32" l="1"/>
  <c r="H33" i="36"/>
  <c r="K57" i="26"/>
  <c r="I77" i="32"/>
  <c r="J71" i="32" l="1"/>
  <c r="J33" i="36" s="1"/>
  <c r="I33" i="36"/>
  <c r="I19" i="36"/>
  <c r="O140" i="34" s="1"/>
  <c r="I38" i="36"/>
  <c r="J77" i="32"/>
  <c r="N40" i="28"/>
  <c r="O221" i="34" s="1"/>
  <c r="D225" i="34"/>
  <c r="D50" i="22"/>
  <c r="D49" i="22"/>
  <c r="F29" i="22"/>
  <c r="G29" i="22"/>
  <c r="H29" i="22"/>
  <c r="E29" i="22"/>
  <c r="I47" i="30"/>
  <c r="Q40" i="28" l="1"/>
  <c r="R221" i="34" s="1"/>
  <c r="J19" i="36"/>
  <c r="Q140" i="34" s="1"/>
  <c r="J38" i="36"/>
  <c r="I225" i="34"/>
  <c r="P47" i="30"/>
  <c r="L47" i="30"/>
  <c r="H47" i="30"/>
  <c r="G47" i="30"/>
  <c r="O47" i="30"/>
  <c r="K47" i="30"/>
  <c r="R47" i="30"/>
  <c r="N47" i="30"/>
  <c r="J47" i="30"/>
  <c r="Q47" i="30"/>
  <c r="M47" i="30"/>
  <c r="S47" i="30" l="1"/>
  <c r="T47" i="30" s="1"/>
  <c r="K130" i="34"/>
  <c r="K125" i="34"/>
  <c r="K122" i="34"/>
  <c r="Q117" i="34"/>
  <c r="O117" i="34"/>
  <c r="M117" i="34"/>
  <c r="K117" i="34"/>
  <c r="Q108" i="34"/>
  <c r="Q133" i="34" s="1"/>
  <c r="Q170" i="34" s="1"/>
  <c r="O108" i="34"/>
  <c r="N233" i="34" s="1"/>
  <c r="M108" i="34"/>
  <c r="L233" i="34" s="1"/>
  <c r="K108" i="34"/>
  <c r="J233" i="34" s="1"/>
  <c r="K105" i="34"/>
  <c r="Q103" i="34"/>
  <c r="O103" i="34"/>
  <c r="K103" i="34"/>
  <c r="K77" i="34"/>
  <c r="R74" i="34"/>
  <c r="P74" i="34"/>
  <c r="N74" i="34"/>
  <c r="L74" i="34"/>
  <c r="K74" i="34"/>
  <c r="Q70" i="34"/>
  <c r="O70" i="34"/>
  <c r="M70" i="34"/>
  <c r="K70" i="34"/>
  <c r="Q69" i="34"/>
  <c r="O69" i="34"/>
  <c r="M69" i="34"/>
  <c r="K69" i="34"/>
  <c r="K65" i="34"/>
  <c r="K62" i="34"/>
  <c r="Q59" i="34"/>
  <c r="O59" i="34"/>
  <c r="M59" i="34"/>
  <c r="K59" i="34"/>
  <c r="K58" i="34"/>
  <c r="J47" i="34"/>
  <c r="I47" i="34"/>
  <c r="H47" i="34"/>
  <c r="G47" i="34"/>
  <c r="J46" i="34"/>
  <c r="I46" i="34"/>
  <c r="H46" i="34"/>
  <c r="G46" i="34"/>
  <c r="C46" i="34"/>
  <c r="J45" i="34"/>
  <c r="I45" i="34"/>
  <c r="H45" i="34"/>
  <c r="G45" i="34"/>
  <c r="C45" i="34"/>
  <c r="L45" i="34" s="1"/>
  <c r="J44" i="34"/>
  <c r="I44" i="34"/>
  <c r="H44" i="34"/>
  <c r="G44" i="34"/>
  <c r="C44" i="34"/>
  <c r="L44" i="34" s="1"/>
  <c r="J42" i="34"/>
  <c r="I42" i="34"/>
  <c r="H42" i="34"/>
  <c r="G42" i="34"/>
  <c r="J41" i="34"/>
  <c r="I41" i="34"/>
  <c r="H41" i="34"/>
  <c r="G41" i="34"/>
  <c r="J39" i="34"/>
  <c r="I39" i="34"/>
  <c r="H39" i="34"/>
  <c r="G39" i="34"/>
  <c r="J38" i="34"/>
  <c r="I38" i="34"/>
  <c r="H38" i="34"/>
  <c r="G38" i="34"/>
  <c r="J32" i="34"/>
  <c r="I32" i="34"/>
  <c r="H32" i="34"/>
  <c r="G32" i="34"/>
  <c r="J31" i="34"/>
  <c r="I31" i="34"/>
  <c r="H31" i="34"/>
  <c r="G31" i="34"/>
  <c r="J30" i="34"/>
  <c r="I30" i="34"/>
  <c r="H30" i="34"/>
  <c r="G30" i="34"/>
  <c r="J29" i="34"/>
  <c r="I29" i="34"/>
  <c r="H29" i="34"/>
  <c r="G29" i="34"/>
  <c r="J28" i="34"/>
  <c r="I28" i="34"/>
  <c r="H28" i="34"/>
  <c r="G28" i="34"/>
  <c r="J27" i="34"/>
  <c r="I27" i="34"/>
  <c r="H27" i="34"/>
  <c r="G27" i="34"/>
  <c r="J25" i="34"/>
  <c r="I25" i="34"/>
  <c r="H25" i="34"/>
  <c r="G25" i="34"/>
  <c r="G24" i="34"/>
  <c r="J23" i="34"/>
  <c r="I23" i="34"/>
  <c r="H23" i="34"/>
  <c r="G23" i="34"/>
  <c r="J21" i="34"/>
  <c r="I21" i="34"/>
  <c r="H21" i="34"/>
  <c r="G21" i="34"/>
  <c r="J20" i="34"/>
  <c r="I20" i="34"/>
  <c r="H20" i="34"/>
  <c r="G20" i="34"/>
  <c r="J19" i="34"/>
  <c r="I19" i="34"/>
  <c r="H19" i="34"/>
  <c r="G19" i="34"/>
  <c r="J18" i="34"/>
  <c r="I18" i="34"/>
  <c r="H18" i="34"/>
  <c r="G18" i="34"/>
  <c r="J17" i="34"/>
  <c r="I17" i="34"/>
  <c r="H17" i="34"/>
  <c r="G17" i="34"/>
  <c r="G16" i="34"/>
  <c r="L13" i="34"/>
  <c r="B13" i="34"/>
  <c r="B12" i="34"/>
  <c r="L11" i="34"/>
  <c r="L9" i="34"/>
  <c r="L3" i="34"/>
  <c r="M64" i="29"/>
  <c r="K64" i="29"/>
  <c r="S62" i="29"/>
  <c r="AL51" i="29"/>
  <c r="AM50" i="29"/>
  <c r="AI50" i="29"/>
  <c r="AK50" i="29" s="1"/>
  <c r="Z50" i="29"/>
  <c r="T50" i="29"/>
  <c r="Q50" i="29"/>
  <c r="S50" i="29" s="1"/>
  <c r="N50" i="29"/>
  <c r="AM49" i="29"/>
  <c r="AI49" i="29"/>
  <c r="AK49" i="29" s="1"/>
  <c r="AC49" i="29"/>
  <c r="AE49" i="29" s="1"/>
  <c r="Z49" i="29"/>
  <c r="T49" i="29"/>
  <c r="Q49" i="29"/>
  <c r="S49" i="29" s="1"/>
  <c r="N49" i="29"/>
  <c r="AM48" i="29"/>
  <c r="AI48" i="29"/>
  <c r="AK48" i="29" s="1"/>
  <c r="AC48" i="29"/>
  <c r="AE48" i="29" s="1"/>
  <c r="W48" i="29"/>
  <c r="Y48" i="29" s="1"/>
  <c r="T48" i="29"/>
  <c r="N48" i="29"/>
  <c r="AM47" i="29"/>
  <c r="AI47" i="29"/>
  <c r="AK47" i="29" s="1"/>
  <c r="AC47" i="29"/>
  <c r="W47" i="29"/>
  <c r="Y47" i="29" s="1"/>
  <c r="Q47" i="29"/>
  <c r="AG46" i="29"/>
  <c r="AF46" i="29"/>
  <c r="AA46" i="29"/>
  <c r="Z46" i="29"/>
  <c r="U46" i="29"/>
  <c r="T46" i="29"/>
  <c r="O46" i="29"/>
  <c r="O51" i="29" s="1"/>
  <c r="N46" i="29"/>
  <c r="I46" i="29"/>
  <c r="AI41" i="29"/>
  <c r="W38" i="29"/>
  <c r="W50" i="29" s="1"/>
  <c r="Y50" i="29" s="1"/>
  <c r="E38" i="29"/>
  <c r="Y38" i="29" s="1"/>
  <c r="D38" i="29"/>
  <c r="C38" i="29"/>
  <c r="E35" i="29"/>
  <c r="D35" i="29"/>
  <c r="C35" i="29"/>
  <c r="K32" i="29"/>
  <c r="E32" i="29"/>
  <c r="M32" i="29" s="1"/>
  <c r="D32" i="29"/>
  <c r="AE32" i="29" s="1"/>
  <c r="C32" i="29"/>
  <c r="E29" i="29"/>
  <c r="D29" i="29"/>
  <c r="C29" i="29"/>
  <c r="AE23" i="29"/>
  <c r="E23" i="29"/>
  <c r="D23" i="29"/>
  <c r="C23" i="29"/>
  <c r="B23" i="29"/>
  <c r="AE22" i="29"/>
  <c r="E22" i="29"/>
  <c r="D22" i="29"/>
  <c r="AD22" i="29" s="1"/>
  <c r="AJ22" i="29" s="1"/>
  <c r="C22" i="29"/>
  <c r="B22" i="29"/>
  <c r="AE21" i="29"/>
  <c r="E21" i="29"/>
  <c r="D21" i="29"/>
  <c r="AK21" i="29" s="1"/>
  <c r="C21" i="29"/>
  <c r="B21" i="29"/>
  <c r="AE20" i="29"/>
  <c r="E20" i="29"/>
  <c r="D20" i="29"/>
  <c r="C20" i="29"/>
  <c r="B20" i="29"/>
  <c r="Y19" i="29"/>
  <c r="E19" i="29"/>
  <c r="D19" i="29"/>
  <c r="X19" i="29" s="1"/>
  <c r="AD19" i="29" s="1"/>
  <c r="AJ19" i="29" s="1"/>
  <c r="C19" i="29"/>
  <c r="B19" i="29"/>
  <c r="Y18" i="29"/>
  <c r="E18" i="29"/>
  <c r="D18" i="29"/>
  <c r="X18" i="29" s="1"/>
  <c r="AD18" i="29" s="1"/>
  <c r="AJ18" i="29" s="1"/>
  <c r="C18" i="29"/>
  <c r="B18" i="29"/>
  <c r="AC17" i="29"/>
  <c r="Y17" i="29"/>
  <c r="E17" i="29"/>
  <c r="D17" i="29"/>
  <c r="C17" i="29"/>
  <c r="B17" i="29"/>
  <c r="AC16" i="29"/>
  <c r="Y16" i="29"/>
  <c r="R16" i="29"/>
  <c r="E16" i="29"/>
  <c r="D16" i="29"/>
  <c r="C16" i="29"/>
  <c r="B16" i="29"/>
  <c r="AC15" i="29"/>
  <c r="S15" i="29"/>
  <c r="E15" i="29"/>
  <c r="D15" i="29"/>
  <c r="R15" i="29" s="1"/>
  <c r="X15" i="29" s="1"/>
  <c r="AD15" i="29" s="1"/>
  <c r="AJ15" i="29" s="1"/>
  <c r="C15" i="29"/>
  <c r="B15" i="29"/>
  <c r="AC14" i="29"/>
  <c r="W14" i="29"/>
  <c r="S14" i="29"/>
  <c r="E14" i="29"/>
  <c r="D14" i="29"/>
  <c r="C14" i="29"/>
  <c r="B14" i="29"/>
  <c r="AC13" i="29"/>
  <c r="W13" i="29"/>
  <c r="S13" i="29"/>
  <c r="E13" i="29"/>
  <c r="D13" i="29"/>
  <c r="R13" i="29" s="1"/>
  <c r="X13" i="29" s="1"/>
  <c r="AD13" i="29" s="1"/>
  <c r="AJ13" i="29" s="1"/>
  <c r="C13" i="29"/>
  <c r="B13" i="29"/>
  <c r="AC12" i="29"/>
  <c r="W12" i="29"/>
  <c r="S12" i="29"/>
  <c r="E12" i="29"/>
  <c r="D12" i="29"/>
  <c r="C12" i="29"/>
  <c r="B12" i="29"/>
  <c r="AC11" i="29"/>
  <c r="W11" i="29"/>
  <c r="Q11" i="29"/>
  <c r="M11" i="29"/>
  <c r="E11" i="29"/>
  <c r="D11" i="29"/>
  <c r="C11" i="29"/>
  <c r="B11" i="29"/>
  <c r="AC10" i="29"/>
  <c r="W10" i="29"/>
  <c r="Q10" i="29"/>
  <c r="M10" i="29"/>
  <c r="E10" i="29"/>
  <c r="D10" i="29"/>
  <c r="C10" i="29"/>
  <c r="B10" i="29"/>
  <c r="AC9" i="29"/>
  <c r="W9" i="29"/>
  <c r="Q9" i="29"/>
  <c r="M9" i="29"/>
  <c r="E9" i="29"/>
  <c r="D9" i="29"/>
  <c r="C9" i="29"/>
  <c r="B9" i="29"/>
  <c r="AC8" i="29"/>
  <c r="W8" i="29"/>
  <c r="Q8" i="29"/>
  <c r="M8" i="29"/>
  <c r="E8" i="29"/>
  <c r="D8" i="29"/>
  <c r="C8" i="29"/>
  <c r="B8" i="29"/>
  <c r="H45" i="22"/>
  <c r="G45" i="22"/>
  <c r="F45" i="22"/>
  <c r="E45" i="22"/>
  <c r="E42" i="22"/>
  <c r="C42" i="22"/>
  <c r="H41" i="22"/>
  <c r="G41" i="22"/>
  <c r="F41" i="22"/>
  <c r="E41" i="22"/>
  <c r="C41" i="22"/>
  <c r="B41" i="22"/>
  <c r="H38" i="22"/>
  <c r="G38" i="22"/>
  <c r="F38" i="22"/>
  <c r="E38" i="22"/>
  <c r="C38" i="22"/>
  <c r="E35" i="22"/>
  <c r="C35" i="22"/>
  <c r="H34" i="22"/>
  <c r="G34" i="22"/>
  <c r="F34" i="22"/>
  <c r="C34" i="22"/>
  <c r="B34" i="22"/>
  <c r="H28" i="22"/>
  <c r="H30" i="22" s="1"/>
  <c r="G28" i="22"/>
  <c r="G30" i="22" s="1"/>
  <c r="F28" i="22"/>
  <c r="F30" i="22" s="1"/>
  <c r="E28" i="22"/>
  <c r="E30" i="22" s="1"/>
  <c r="C28" i="22"/>
  <c r="B28" i="22"/>
  <c r="H25" i="22"/>
  <c r="G25" i="22"/>
  <c r="F25" i="22"/>
  <c r="E25" i="22"/>
  <c r="C25" i="22"/>
  <c r="L24" i="22"/>
  <c r="K24" i="22"/>
  <c r="L22" i="22"/>
  <c r="K22" i="22"/>
  <c r="E22" i="22"/>
  <c r="C22" i="22"/>
  <c r="H20" i="22"/>
  <c r="G20" i="22"/>
  <c r="F20" i="22"/>
  <c r="E20" i="22"/>
  <c r="H19" i="22"/>
  <c r="G19" i="22"/>
  <c r="F19" i="22"/>
  <c r="E19" i="22"/>
  <c r="C19" i="22"/>
  <c r="B19" i="22"/>
  <c r="L18" i="22"/>
  <c r="K18" i="22"/>
  <c r="X16" i="22"/>
  <c r="W16" i="22"/>
  <c r="V16" i="22"/>
  <c r="U16" i="22"/>
  <c r="T16" i="22"/>
  <c r="S16" i="22"/>
  <c r="R16" i="22"/>
  <c r="Q16" i="22"/>
  <c r="P16" i="22"/>
  <c r="O16" i="22"/>
  <c r="N16" i="22"/>
  <c r="L16" i="22"/>
  <c r="K16" i="22"/>
  <c r="H15" i="22"/>
  <c r="H17" i="22" s="1"/>
  <c r="G15" i="22"/>
  <c r="G17" i="22" s="1"/>
  <c r="F15" i="22"/>
  <c r="F17" i="22" s="1"/>
  <c r="E15" i="22"/>
  <c r="E17" i="22" s="1"/>
  <c r="C15" i="22"/>
  <c r="B15" i="22"/>
  <c r="L14" i="22"/>
  <c r="K14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H12" i="22"/>
  <c r="G12" i="22"/>
  <c r="F12" i="22"/>
  <c r="E12" i="22"/>
  <c r="C12" i="22"/>
  <c r="L10" i="22"/>
  <c r="K10" i="22"/>
  <c r="J10" i="22"/>
  <c r="E9" i="22"/>
  <c r="C9" i="22"/>
  <c r="H8" i="22"/>
  <c r="G8" i="22"/>
  <c r="F8" i="22"/>
  <c r="E8" i="22"/>
  <c r="C8" i="22"/>
  <c r="B8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L5" i="22"/>
  <c r="K5" i="22"/>
  <c r="J5" i="22"/>
  <c r="H5" i="22"/>
  <c r="G5" i="22"/>
  <c r="F5" i="22"/>
  <c r="E5" i="22"/>
  <c r="C5" i="22"/>
  <c r="H4" i="22"/>
  <c r="G4" i="22"/>
  <c r="F4" i="22"/>
  <c r="E4" i="22"/>
  <c r="G24" i="36" s="1"/>
  <c r="C4" i="22"/>
  <c r="B4" i="22"/>
  <c r="L3" i="22"/>
  <c r="K3" i="22"/>
  <c r="J3" i="22"/>
  <c r="E3" i="22"/>
  <c r="D3" i="22"/>
  <c r="M2" i="22"/>
  <c r="F62" i="2"/>
  <c r="M61" i="2"/>
  <c r="N61" i="2" s="1"/>
  <c r="F61" i="2"/>
  <c r="M60" i="2"/>
  <c r="N60" i="2" s="1"/>
  <c r="F60" i="2"/>
  <c r="E59" i="2"/>
  <c r="E63" i="2" s="1"/>
  <c r="F58" i="2"/>
  <c r="G58" i="2" s="1"/>
  <c r="H58" i="2" s="1"/>
  <c r="E57" i="2"/>
  <c r="F56" i="2"/>
  <c r="F57" i="2" s="1"/>
  <c r="M55" i="2"/>
  <c r="N55" i="2" s="1"/>
  <c r="F55" i="2"/>
  <c r="M54" i="2"/>
  <c r="N54" i="2" s="1"/>
  <c r="F54" i="2"/>
  <c r="G54" i="2" s="1"/>
  <c r="H54" i="2" s="1"/>
  <c r="E53" i="2"/>
  <c r="F52" i="2"/>
  <c r="G52" i="2" s="1"/>
  <c r="H52" i="2" s="1"/>
  <c r="F50" i="2"/>
  <c r="M49" i="2"/>
  <c r="N49" i="2" s="1"/>
  <c r="F49" i="2"/>
  <c r="M48" i="2"/>
  <c r="N48" i="2" s="1"/>
  <c r="F48" i="2"/>
  <c r="G48" i="2" s="1"/>
  <c r="E47" i="2"/>
  <c r="E51" i="2" s="1"/>
  <c r="F46" i="2"/>
  <c r="G46" i="2" s="1"/>
  <c r="H46" i="2" s="1"/>
  <c r="F44" i="2"/>
  <c r="M43" i="2"/>
  <c r="F43" i="2"/>
  <c r="M42" i="2"/>
  <c r="N42" i="2" s="1"/>
  <c r="F42" i="2"/>
  <c r="E41" i="2"/>
  <c r="E45" i="2" s="1"/>
  <c r="F40" i="2"/>
  <c r="G40" i="2" s="1"/>
  <c r="H40" i="2" s="1"/>
  <c r="F38" i="2"/>
  <c r="M37" i="2"/>
  <c r="N37" i="2" s="1"/>
  <c r="F37" i="2"/>
  <c r="M36" i="2"/>
  <c r="F36" i="2"/>
  <c r="E35" i="2"/>
  <c r="E39" i="2" s="1"/>
  <c r="F34" i="2"/>
  <c r="G34" i="2" s="1"/>
  <c r="H34" i="2" s="1"/>
  <c r="F32" i="2"/>
  <c r="G32" i="2" s="1"/>
  <c r="H32" i="2" s="1"/>
  <c r="M31" i="2"/>
  <c r="N31" i="2" s="1"/>
  <c r="F31" i="2"/>
  <c r="M30" i="2"/>
  <c r="N30" i="2" s="1"/>
  <c r="F30" i="2"/>
  <c r="G30" i="2" s="1"/>
  <c r="E29" i="2"/>
  <c r="E33" i="2" s="1"/>
  <c r="F28" i="2"/>
  <c r="G28" i="2" s="1"/>
  <c r="H28" i="2" s="1"/>
  <c r="F26" i="2"/>
  <c r="M25" i="2"/>
  <c r="N25" i="2" s="1"/>
  <c r="F25" i="2"/>
  <c r="M24" i="2"/>
  <c r="N24" i="2" s="1"/>
  <c r="F24" i="2"/>
  <c r="G24" i="2" s="1"/>
  <c r="H24" i="2" s="1"/>
  <c r="E23" i="2"/>
  <c r="E27" i="2" s="1"/>
  <c r="F22" i="2"/>
  <c r="G22" i="2" s="1"/>
  <c r="H22" i="2" s="1"/>
  <c r="F20" i="2"/>
  <c r="G20" i="2" s="1"/>
  <c r="M19" i="2"/>
  <c r="N19" i="2" s="1"/>
  <c r="F19" i="2"/>
  <c r="F18" i="2"/>
  <c r="E17" i="2"/>
  <c r="E21" i="2" s="1"/>
  <c r="F16" i="2"/>
  <c r="G16" i="2" s="1"/>
  <c r="H16" i="2" s="1"/>
  <c r="M13" i="2"/>
  <c r="N13" i="2" s="1"/>
  <c r="F13" i="2"/>
  <c r="M12" i="2"/>
  <c r="N12" i="2" s="1"/>
  <c r="F12" i="2"/>
  <c r="E11" i="2"/>
  <c r="E15" i="2" s="1"/>
  <c r="F10" i="2"/>
  <c r="G10" i="2" s="1"/>
  <c r="H9" i="2"/>
  <c r="G9" i="2"/>
  <c r="F9" i="2"/>
  <c r="E7" i="2"/>
  <c r="J2" i="2"/>
  <c r="N130" i="1"/>
  <c r="F130" i="1"/>
  <c r="N129" i="1"/>
  <c r="O129" i="1" s="1"/>
  <c r="F129" i="1"/>
  <c r="N128" i="1"/>
  <c r="O128" i="1" s="1"/>
  <c r="F128" i="1"/>
  <c r="N126" i="1"/>
  <c r="F126" i="1"/>
  <c r="N125" i="1"/>
  <c r="O125" i="1" s="1"/>
  <c r="F125" i="1"/>
  <c r="H125" i="1" s="1"/>
  <c r="J125" i="1" s="1"/>
  <c r="N124" i="1"/>
  <c r="O124" i="1" s="1"/>
  <c r="F124" i="1"/>
  <c r="N123" i="1"/>
  <c r="O123" i="1" s="1"/>
  <c r="F123" i="1"/>
  <c r="N122" i="1"/>
  <c r="O122" i="1" s="1"/>
  <c r="F122" i="1"/>
  <c r="N121" i="1"/>
  <c r="O121" i="1" s="1"/>
  <c r="F121" i="1"/>
  <c r="N120" i="1"/>
  <c r="O120" i="1" s="1"/>
  <c r="F120" i="1"/>
  <c r="D119" i="1"/>
  <c r="G52" i="36" s="1"/>
  <c r="N118" i="1"/>
  <c r="O118" i="1" s="1"/>
  <c r="F118" i="1"/>
  <c r="N117" i="1"/>
  <c r="O117" i="1" s="1"/>
  <c r="F117" i="1"/>
  <c r="N116" i="1"/>
  <c r="F116" i="1"/>
  <c r="N115" i="1"/>
  <c r="O115" i="1" s="1"/>
  <c r="F115" i="1"/>
  <c r="D114" i="1"/>
  <c r="N113" i="1"/>
  <c r="O113" i="1" s="1"/>
  <c r="F113" i="1"/>
  <c r="N112" i="1"/>
  <c r="O112" i="1" s="1"/>
  <c r="F112" i="1"/>
  <c r="D111" i="1"/>
  <c r="N110" i="1"/>
  <c r="O110" i="1" s="1"/>
  <c r="F110" i="1"/>
  <c r="N109" i="1"/>
  <c r="O109" i="1" s="1"/>
  <c r="F109" i="1"/>
  <c r="N108" i="1"/>
  <c r="O108" i="1" s="1"/>
  <c r="F108" i="1"/>
  <c r="N107" i="1"/>
  <c r="O107" i="1" s="1"/>
  <c r="F107" i="1"/>
  <c r="D106" i="1"/>
  <c r="N105" i="1"/>
  <c r="F105" i="1"/>
  <c r="N104" i="1"/>
  <c r="O104" i="1" s="1"/>
  <c r="F104" i="1"/>
  <c r="N103" i="1"/>
  <c r="O103" i="1" s="1"/>
  <c r="F103" i="1"/>
  <c r="N102" i="1"/>
  <c r="O102" i="1" s="1"/>
  <c r="F102" i="1"/>
  <c r="D101" i="1"/>
  <c r="N100" i="1"/>
  <c r="O100" i="1" s="1"/>
  <c r="F100" i="1"/>
  <c r="N99" i="1"/>
  <c r="O99" i="1" s="1"/>
  <c r="F99" i="1"/>
  <c r="N98" i="1"/>
  <c r="O98" i="1" s="1"/>
  <c r="F98" i="1"/>
  <c r="N97" i="1"/>
  <c r="O97" i="1" s="1"/>
  <c r="F97" i="1"/>
  <c r="N96" i="1"/>
  <c r="F96" i="1"/>
  <c r="D95" i="1"/>
  <c r="N94" i="1"/>
  <c r="O94" i="1" s="1"/>
  <c r="F94" i="1"/>
  <c r="N93" i="1"/>
  <c r="O93" i="1" s="1"/>
  <c r="F93" i="1"/>
  <c r="N92" i="1"/>
  <c r="O92" i="1" s="1"/>
  <c r="F92" i="1"/>
  <c r="N91" i="1"/>
  <c r="O91" i="1" s="1"/>
  <c r="F91" i="1"/>
  <c r="D90" i="1"/>
  <c r="N89" i="1"/>
  <c r="O89" i="1" s="1"/>
  <c r="F89" i="1"/>
  <c r="N88" i="1"/>
  <c r="O88" i="1" s="1"/>
  <c r="F88" i="1"/>
  <c r="N87" i="1"/>
  <c r="O87" i="1" s="1"/>
  <c r="F87" i="1"/>
  <c r="D86" i="1"/>
  <c r="N85" i="1"/>
  <c r="O85" i="1" s="1"/>
  <c r="F85" i="1"/>
  <c r="N84" i="1"/>
  <c r="O84" i="1" s="1"/>
  <c r="F84" i="1"/>
  <c r="N83" i="1"/>
  <c r="O83" i="1" s="1"/>
  <c r="F83" i="1"/>
  <c r="D82" i="1"/>
  <c r="N81" i="1"/>
  <c r="O81" i="1" s="1"/>
  <c r="F81" i="1"/>
  <c r="N80" i="1"/>
  <c r="O80" i="1" s="1"/>
  <c r="F80" i="1"/>
  <c r="N79" i="1"/>
  <c r="O79" i="1" s="1"/>
  <c r="F79" i="1"/>
  <c r="N78" i="1"/>
  <c r="O78" i="1" s="1"/>
  <c r="F78" i="1"/>
  <c r="N77" i="1"/>
  <c r="O77" i="1" s="1"/>
  <c r="F77" i="1"/>
  <c r="D76" i="1"/>
  <c r="N75" i="1"/>
  <c r="O75" i="1" s="1"/>
  <c r="F75" i="1"/>
  <c r="N74" i="1"/>
  <c r="O74" i="1" s="1"/>
  <c r="F74" i="1"/>
  <c r="N73" i="1"/>
  <c r="O73" i="1" s="1"/>
  <c r="F73" i="1"/>
  <c r="N72" i="1"/>
  <c r="O72" i="1" s="1"/>
  <c r="F72" i="1"/>
  <c r="D71" i="1"/>
  <c r="F70" i="1"/>
  <c r="H70" i="1" s="1"/>
  <c r="J70" i="1" s="1"/>
  <c r="J69" i="1"/>
  <c r="F69" i="1"/>
  <c r="J68" i="1"/>
  <c r="F68" i="1"/>
  <c r="H68" i="1" s="1"/>
  <c r="J67" i="1"/>
  <c r="F67" i="1"/>
  <c r="H67" i="1" s="1"/>
  <c r="N64" i="1"/>
  <c r="O64" i="1" s="1"/>
  <c r="F64" i="1"/>
  <c r="N63" i="1"/>
  <c r="O63" i="1" s="1"/>
  <c r="F63" i="1"/>
  <c r="N62" i="1"/>
  <c r="O62" i="1" s="1"/>
  <c r="F62" i="1"/>
  <c r="N61" i="1"/>
  <c r="O61" i="1" s="1"/>
  <c r="F61" i="1"/>
  <c r="N60" i="1"/>
  <c r="O60" i="1" s="1"/>
  <c r="F60" i="1"/>
  <c r="N59" i="1"/>
  <c r="O59" i="1" s="1"/>
  <c r="F59" i="1"/>
  <c r="N58" i="1"/>
  <c r="O58" i="1" s="1"/>
  <c r="F58" i="1"/>
  <c r="N57" i="1"/>
  <c r="O57" i="1" s="1"/>
  <c r="F57" i="1"/>
  <c r="N56" i="1"/>
  <c r="O56" i="1" s="1"/>
  <c r="F56" i="1"/>
  <c r="D53" i="1"/>
  <c r="D52" i="1" s="1"/>
  <c r="N54" i="1"/>
  <c r="O54" i="1" s="1"/>
  <c r="N53" i="1"/>
  <c r="O53" i="1" s="1"/>
  <c r="N51" i="1"/>
  <c r="O51" i="1" s="1"/>
  <c r="F51" i="1"/>
  <c r="N50" i="1"/>
  <c r="O50" i="1" s="1"/>
  <c r="F50" i="1"/>
  <c r="N49" i="1"/>
  <c r="F49" i="1"/>
  <c r="N48" i="1"/>
  <c r="O48" i="1" s="1"/>
  <c r="F48" i="1"/>
  <c r="N47" i="1"/>
  <c r="O47" i="1" s="1"/>
  <c r="F47" i="1"/>
  <c r="N43" i="1"/>
  <c r="O43" i="1" s="1"/>
  <c r="F43" i="1"/>
  <c r="N42" i="1"/>
  <c r="O42" i="1" s="1"/>
  <c r="F40" i="1"/>
  <c r="H40" i="1" s="1"/>
  <c r="J40" i="1" s="1"/>
  <c r="F38" i="1"/>
  <c r="H38" i="1" s="1"/>
  <c r="J38" i="1" s="1"/>
  <c r="F36" i="1"/>
  <c r="H36" i="1" s="1"/>
  <c r="J36" i="1" s="1"/>
  <c r="N35" i="1"/>
  <c r="O35" i="1" s="1"/>
  <c r="F33" i="1"/>
  <c r="H33" i="1" s="1"/>
  <c r="N28" i="1"/>
  <c r="O28" i="1" s="1"/>
  <c r="F28" i="1"/>
  <c r="AO32" i="30" s="1"/>
  <c r="H27" i="1"/>
  <c r="J27" i="1" s="1"/>
  <c r="D24" i="1"/>
  <c r="F26" i="1"/>
  <c r="H26" i="1" s="1"/>
  <c r="J26" i="1" s="1"/>
  <c r="N25" i="1"/>
  <c r="F25" i="1"/>
  <c r="N22" i="1"/>
  <c r="O22" i="1" s="1"/>
  <c r="F22" i="1"/>
  <c r="AH32" i="30" s="1"/>
  <c r="H21" i="1"/>
  <c r="J21" i="1" s="1"/>
  <c r="AG31" i="30"/>
  <c r="F20" i="1"/>
  <c r="H20" i="1" s="1"/>
  <c r="J20" i="1" s="1"/>
  <c r="F19" i="1"/>
  <c r="H19" i="1" s="1"/>
  <c r="J19" i="1" s="1"/>
  <c r="N18" i="1"/>
  <c r="O18" i="1" s="1"/>
  <c r="F18" i="1"/>
  <c r="H15" i="1"/>
  <c r="J15" i="1" s="1"/>
  <c r="D12" i="1"/>
  <c r="N14" i="1"/>
  <c r="O14" i="1" s="1"/>
  <c r="F14" i="1"/>
  <c r="AA32" i="30" s="1"/>
  <c r="N13" i="1"/>
  <c r="O13" i="1" s="1"/>
  <c r="J10" i="1"/>
  <c r="H10" i="1"/>
  <c r="F10" i="1"/>
  <c r="F55" i="1" s="1"/>
  <c r="H55" i="1" s="1"/>
  <c r="J55" i="1" s="1"/>
  <c r="D7" i="1"/>
  <c r="B7" i="1"/>
  <c r="C3" i="33"/>
  <c r="D3" i="33" s="1"/>
  <c r="D23" i="33" s="1"/>
  <c r="C2" i="33"/>
  <c r="C25" i="33" s="1"/>
  <c r="C38" i="28"/>
  <c r="C48" i="28" s="1"/>
  <c r="D230" i="34" s="1"/>
  <c r="O37" i="28"/>
  <c r="P218" i="34" s="1"/>
  <c r="L36" i="28"/>
  <c r="I18" i="36" s="1"/>
  <c r="O139" i="34" s="1"/>
  <c r="I35" i="28"/>
  <c r="H18" i="36" s="1"/>
  <c r="M139" i="34" s="1"/>
  <c r="F34" i="28"/>
  <c r="G18" i="36" s="1"/>
  <c r="K139" i="34" s="1"/>
  <c r="G32" i="28"/>
  <c r="G30" i="36" s="1"/>
  <c r="K148" i="34" s="1"/>
  <c r="O31" i="28"/>
  <c r="O30" i="28"/>
  <c r="O29" i="28"/>
  <c r="AC20" i="29"/>
  <c r="P26" i="28"/>
  <c r="L26" i="28"/>
  <c r="P25" i="28"/>
  <c r="L25" i="28"/>
  <c r="P24" i="28"/>
  <c r="L24" i="28"/>
  <c r="P23" i="28"/>
  <c r="L23" i="28"/>
  <c r="M21" i="28"/>
  <c r="M20" i="28"/>
  <c r="I20" i="28"/>
  <c r="M19" i="28"/>
  <c r="I19" i="28"/>
  <c r="M18" i="28"/>
  <c r="J16" i="28"/>
  <c r="K197" i="34" s="1"/>
  <c r="F16" i="28"/>
  <c r="J15" i="28"/>
  <c r="F15" i="28"/>
  <c r="J14" i="28"/>
  <c r="W3" i="29"/>
  <c r="W27" i="29" s="1"/>
  <c r="F9" i="28"/>
  <c r="K3" i="29" s="1"/>
  <c r="K27" i="29" s="1"/>
  <c r="R105" i="30"/>
  <c r="C103" i="30"/>
  <c r="D69" i="30"/>
  <c r="N67" i="30"/>
  <c r="J67" i="30"/>
  <c r="I67" i="30"/>
  <c r="B54" i="30"/>
  <c r="B55" i="30" s="1"/>
  <c r="B56" i="30" s="1"/>
  <c r="B57" i="30" s="1"/>
  <c r="B58" i="30" s="1"/>
  <c r="U42" i="30"/>
  <c r="M16" i="22"/>
  <c r="B30" i="30"/>
  <c r="S28" i="30"/>
  <c r="G28" i="30"/>
  <c r="G52" i="30" s="1"/>
  <c r="R25" i="30"/>
  <c r="L25" i="30"/>
  <c r="H25" i="30"/>
  <c r="S24" i="30"/>
  <c r="S22" i="30"/>
  <c r="T22" i="30" s="1"/>
  <c r="S20" i="30"/>
  <c r="T20" i="30" s="1"/>
  <c r="H16" i="30"/>
  <c r="J100" i="32"/>
  <c r="H93" i="32"/>
  <c r="I93" i="32" s="1"/>
  <c r="J93" i="32" s="1"/>
  <c r="H85" i="32"/>
  <c r="I85" i="32" s="1"/>
  <c r="K127" i="34"/>
  <c r="M125" i="34"/>
  <c r="K120" i="34"/>
  <c r="H65" i="32"/>
  <c r="I65" i="32" s="1"/>
  <c r="J65" i="32" s="1"/>
  <c r="G61" i="32"/>
  <c r="G58" i="32"/>
  <c r="K112" i="34" s="1"/>
  <c r="G57" i="32"/>
  <c r="L53" i="32"/>
  <c r="J53" i="32"/>
  <c r="H48" i="32"/>
  <c r="M101" i="34"/>
  <c r="K101" i="34"/>
  <c r="K98" i="34"/>
  <c r="J35" i="32"/>
  <c r="I35" i="32"/>
  <c r="H35" i="32"/>
  <c r="G35" i="32"/>
  <c r="I10" i="32"/>
  <c r="I53" i="32" s="1"/>
  <c r="H10" i="32"/>
  <c r="H53" i="32" s="1"/>
  <c r="G10" i="32"/>
  <c r="G53" i="32" s="1"/>
  <c r="I28" i="20"/>
  <c r="K28" i="20" s="1"/>
  <c r="M28" i="20" s="1"/>
  <c r="R12" i="20"/>
  <c r="S12" i="20" s="1"/>
  <c r="I12" i="20"/>
  <c r="G10" i="20"/>
  <c r="E9" i="2" s="1"/>
  <c r="G8" i="20"/>
  <c r="G7" i="20"/>
  <c r="I65" i="26"/>
  <c r="D105" i="30"/>
  <c r="I56" i="26"/>
  <c r="K47" i="34" s="1"/>
  <c r="I55" i="26"/>
  <c r="K46" i="34" s="1"/>
  <c r="I54" i="26"/>
  <c r="K45" i="34" s="1"/>
  <c r="I53" i="26"/>
  <c r="K44" i="34" s="1"/>
  <c r="K50" i="26"/>
  <c r="I50" i="26"/>
  <c r="K42" i="34" s="1"/>
  <c r="I49" i="26"/>
  <c r="K41" i="34" s="1"/>
  <c r="I47" i="26"/>
  <c r="K39" i="34" s="1"/>
  <c r="I46" i="26"/>
  <c r="K38" i="34" s="1"/>
  <c r="E43" i="26"/>
  <c r="E42" i="26"/>
  <c r="H40" i="26"/>
  <c r="J33" i="34" s="1"/>
  <c r="G40" i="26"/>
  <c r="I33" i="34" s="1"/>
  <c r="F40" i="26"/>
  <c r="H33" i="34" s="1"/>
  <c r="G33" i="34"/>
  <c r="I39" i="26"/>
  <c r="K32" i="34" s="1"/>
  <c r="I38" i="26"/>
  <c r="K31" i="34" s="1"/>
  <c r="F42" i="22"/>
  <c r="I35" i="26"/>
  <c r="K29" i="34" s="1"/>
  <c r="F35" i="22"/>
  <c r="I32" i="26"/>
  <c r="K27" i="34" s="1"/>
  <c r="I30" i="26"/>
  <c r="K25" i="34" s="1"/>
  <c r="F22" i="22"/>
  <c r="I27" i="26"/>
  <c r="K23" i="34" s="1"/>
  <c r="I24" i="26"/>
  <c r="K21" i="34" s="1"/>
  <c r="F9" i="22"/>
  <c r="I20" i="26"/>
  <c r="K19" i="34" s="1"/>
  <c r="I17" i="26"/>
  <c r="K17" i="34" s="1"/>
  <c r="F16" i="26"/>
  <c r="E58" i="29" l="1"/>
  <c r="E56" i="29"/>
  <c r="E59" i="29" s="1"/>
  <c r="P29" i="29"/>
  <c r="P41" i="29" s="1"/>
  <c r="J46" i="29"/>
  <c r="G76" i="32"/>
  <c r="AI31" i="30"/>
  <c r="AL31" i="30" s="1"/>
  <c r="Y12" i="22"/>
  <c r="Y7" i="22"/>
  <c r="Y16" i="22"/>
  <c r="E48" i="22"/>
  <c r="D11" i="1"/>
  <c r="Q40" i="36" s="1"/>
  <c r="J24" i="36"/>
  <c r="H48" i="22"/>
  <c r="I24" i="36"/>
  <c r="G48" i="22"/>
  <c r="H24" i="36"/>
  <c r="F48" i="22"/>
  <c r="H88" i="1"/>
  <c r="J88" i="1" s="1"/>
  <c r="H97" i="1"/>
  <c r="J97" i="1" s="1"/>
  <c r="G35" i="34"/>
  <c r="K54" i="34" s="1"/>
  <c r="G192" i="34"/>
  <c r="H103" i="1"/>
  <c r="J103" i="1" s="1"/>
  <c r="H112" i="1"/>
  <c r="J65" i="1"/>
  <c r="K177" i="34"/>
  <c r="G47" i="32"/>
  <c r="K104" i="34" s="1"/>
  <c r="AN31" i="30"/>
  <c r="G86" i="32"/>
  <c r="D35" i="1"/>
  <c r="D41" i="1" s="1"/>
  <c r="Z31" i="30"/>
  <c r="M105" i="34"/>
  <c r="H29" i="36"/>
  <c r="J101" i="32"/>
  <c r="F63" i="36"/>
  <c r="H213" i="34"/>
  <c r="H89" i="1"/>
  <c r="H123" i="1"/>
  <c r="J123" i="1" s="1"/>
  <c r="H128" i="1"/>
  <c r="J128" i="1" s="1"/>
  <c r="H69" i="1"/>
  <c r="H65" i="1" s="1"/>
  <c r="F65" i="1"/>
  <c r="U34" i="30" s="1"/>
  <c r="L34" i="30" s="1"/>
  <c r="R22" i="22" s="1"/>
  <c r="R23" i="22" s="1"/>
  <c r="U43" i="30"/>
  <c r="O13" i="22"/>
  <c r="J42" i="30"/>
  <c r="H98" i="1"/>
  <c r="J98" i="1" s="1"/>
  <c r="M58" i="34"/>
  <c r="N25" i="30"/>
  <c r="J25" i="30"/>
  <c r="P25" i="30"/>
  <c r="K25" i="30"/>
  <c r="Q25" i="30"/>
  <c r="I25" i="30"/>
  <c r="O25" i="30"/>
  <c r="M74" i="34"/>
  <c r="G34" i="32"/>
  <c r="K95" i="34" s="1"/>
  <c r="D219" i="34"/>
  <c r="G91" i="32"/>
  <c r="H85" i="1"/>
  <c r="J85" i="1" s="1"/>
  <c r="H14" i="1"/>
  <c r="J14" i="1" s="1"/>
  <c r="H77" i="1"/>
  <c r="M127" i="34"/>
  <c r="M98" i="34"/>
  <c r="F43" i="26"/>
  <c r="I10" i="28"/>
  <c r="F12" i="1"/>
  <c r="Z32" i="30" s="1"/>
  <c r="AH35" i="29"/>
  <c r="Q36" i="28" s="1"/>
  <c r="R217" i="34" s="1"/>
  <c r="AE16" i="29"/>
  <c r="Q204" i="34"/>
  <c r="AC22" i="29"/>
  <c r="P211" i="34"/>
  <c r="S9" i="29"/>
  <c r="K195" i="34"/>
  <c r="Y13" i="29"/>
  <c r="N200" i="34"/>
  <c r="AE17" i="29"/>
  <c r="AK17" i="29" s="1"/>
  <c r="Q205" i="34"/>
  <c r="AC23" i="29"/>
  <c r="AG23" i="29" s="1"/>
  <c r="P212" i="34"/>
  <c r="K10" i="29"/>
  <c r="O10" i="29" s="1"/>
  <c r="G196" i="34"/>
  <c r="Q14" i="29"/>
  <c r="T14" i="29" s="1"/>
  <c r="V14" i="29" s="1"/>
  <c r="K20" i="28" s="1"/>
  <c r="L201" i="34" s="1"/>
  <c r="J201" i="34"/>
  <c r="W18" i="29"/>
  <c r="M206" i="34"/>
  <c r="K9" i="29"/>
  <c r="O9" i="29" s="1"/>
  <c r="G195" i="34"/>
  <c r="S10" i="29"/>
  <c r="K196" i="34"/>
  <c r="Y14" i="29"/>
  <c r="N201" i="34"/>
  <c r="AE18" i="29"/>
  <c r="Q206" i="34"/>
  <c r="Y12" i="29"/>
  <c r="N199" i="34"/>
  <c r="K11" i="29"/>
  <c r="G197" i="34"/>
  <c r="Q15" i="29"/>
  <c r="T15" i="29" s="1"/>
  <c r="V15" i="29" s="1"/>
  <c r="K21" i="28" s="1"/>
  <c r="L202" i="34" s="1"/>
  <c r="J202" i="34"/>
  <c r="W19" i="29"/>
  <c r="AA19" i="29" s="1"/>
  <c r="M207" i="34"/>
  <c r="AC21" i="29"/>
  <c r="AF21" i="29" s="1"/>
  <c r="AH21" i="29" s="1"/>
  <c r="Q29" i="28" s="1"/>
  <c r="R210" i="34" s="1"/>
  <c r="P210" i="34"/>
  <c r="Y15" i="29"/>
  <c r="N202" i="34"/>
  <c r="AE19" i="29"/>
  <c r="Q207" i="34"/>
  <c r="Q32" i="29"/>
  <c r="Q41" i="29" s="1"/>
  <c r="J216" i="34"/>
  <c r="Q13" i="29"/>
  <c r="T13" i="29" s="1"/>
  <c r="V13" i="29" s="1"/>
  <c r="K19" i="28" s="1"/>
  <c r="L200" i="34" s="1"/>
  <c r="J200" i="34"/>
  <c r="Q12" i="29"/>
  <c r="J199" i="34"/>
  <c r="W16" i="29"/>
  <c r="AA16" i="29" s="1"/>
  <c r="M204" i="34"/>
  <c r="W35" i="29"/>
  <c r="W41" i="29" s="1"/>
  <c r="M217" i="34"/>
  <c r="H78" i="1"/>
  <c r="J78" i="1" s="1"/>
  <c r="H118" i="1"/>
  <c r="J118" i="1" s="1"/>
  <c r="H28" i="1"/>
  <c r="J28" i="1" s="1"/>
  <c r="K29" i="29"/>
  <c r="K47" i="29" s="1"/>
  <c r="K51" i="29" s="1"/>
  <c r="G215" i="34"/>
  <c r="W17" i="29"/>
  <c r="Z17" i="29" s="1"/>
  <c r="AB17" i="29" s="1"/>
  <c r="N24" i="28" s="1"/>
  <c r="O205" i="34" s="1"/>
  <c r="M205" i="34"/>
  <c r="S8" i="29"/>
  <c r="K194" i="34"/>
  <c r="K8" i="29"/>
  <c r="O8" i="29" s="1"/>
  <c r="G194" i="34"/>
  <c r="Q3" i="29"/>
  <c r="Q27" i="29" s="1"/>
  <c r="J190" i="34"/>
  <c r="AN38" i="29"/>
  <c r="F36" i="22"/>
  <c r="F39" i="22" s="1"/>
  <c r="F40" i="22" s="1"/>
  <c r="H31" i="32" s="1"/>
  <c r="H56" i="1"/>
  <c r="J56" i="1" s="1"/>
  <c r="F32" i="22"/>
  <c r="F33" i="22" s="1"/>
  <c r="H62" i="1"/>
  <c r="J62" i="1" s="1"/>
  <c r="H75" i="1"/>
  <c r="J75" i="1" s="1"/>
  <c r="H102" i="1"/>
  <c r="J102" i="1" s="1"/>
  <c r="H113" i="1"/>
  <c r="J113" i="1" s="1"/>
  <c r="G49" i="2"/>
  <c r="H49" i="2" s="1"/>
  <c r="G32" i="22"/>
  <c r="G33" i="22" s="1"/>
  <c r="F95" i="1"/>
  <c r="F90" i="1"/>
  <c r="G24" i="29"/>
  <c r="E68" i="2"/>
  <c r="E65" i="2"/>
  <c r="G15" i="20" s="1"/>
  <c r="E32" i="22"/>
  <c r="H32" i="22"/>
  <c r="N17" i="22"/>
  <c r="V17" i="22"/>
  <c r="O17" i="22"/>
  <c r="M17" i="22"/>
  <c r="N13" i="22"/>
  <c r="G13" i="2"/>
  <c r="H13" i="2" s="1"/>
  <c r="G55" i="2"/>
  <c r="G53" i="2" s="1"/>
  <c r="G14" i="2"/>
  <c r="H14" i="2" s="1"/>
  <c r="W17" i="22"/>
  <c r="G31" i="2"/>
  <c r="H31" i="2" s="1"/>
  <c r="I16" i="30"/>
  <c r="I101" i="30" s="1"/>
  <c r="AK20" i="29"/>
  <c r="M24" i="29"/>
  <c r="D2" i="33"/>
  <c r="D25" i="33" s="1"/>
  <c r="H51" i="1"/>
  <c r="V13" i="22"/>
  <c r="G38" i="2"/>
  <c r="H38" i="2" s="1"/>
  <c r="P20" i="28"/>
  <c r="H20" i="2"/>
  <c r="H22" i="1"/>
  <c r="J22" i="1" s="1"/>
  <c r="O64" i="29"/>
  <c r="F35" i="2"/>
  <c r="F39" i="2" s="1"/>
  <c r="G61" i="2"/>
  <c r="H61" i="2" s="1"/>
  <c r="U33" i="30"/>
  <c r="G33" i="30" s="1"/>
  <c r="M29" i="29"/>
  <c r="G34" i="28" s="1"/>
  <c r="AM51" i="29"/>
  <c r="P18" i="28"/>
  <c r="S11" i="29"/>
  <c r="M16" i="28"/>
  <c r="Y11" i="29" s="1"/>
  <c r="O32" i="28"/>
  <c r="D15" i="33"/>
  <c r="M13" i="22"/>
  <c r="U13" i="22"/>
  <c r="N8" i="22"/>
  <c r="P8" i="22"/>
  <c r="X8" i="22"/>
  <c r="G62" i="2"/>
  <c r="H62" i="2" s="1"/>
  <c r="M15" i="28"/>
  <c r="H60" i="1"/>
  <c r="J60" i="1" s="1"/>
  <c r="H64" i="1"/>
  <c r="J64" i="1" s="1"/>
  <c r="H107" i="1"/>
  <c r="J107" i="1" s="1"/>
  <c r="H122" i="1"/>
  <c r="J122" i="1" s="1"/>
  <c r="G19" i="2"/>
  <c r="H19" i="2" s="1"/>
  <c r="F41" i="2"/>
  <c r="F45" i="2" s="1"/>
  <c r="G50" i="2"/>
  <c r="Q8" i="22"/>
  <c r="E64" i="2"/>
  <c r="G57" i="36" s="1"/>
  <c r="K182" i="34" s="1"/>
  <c r="AB29" i="29"/>
  <c r="N34" i="28" s="1"/>
  <c r="O215" i="34" s="1"/>
  <c r="H34" i="28"/>
  <c r="M13" i="28"/>
  <c r="H57" i="1"/>
  <c r="J57" i="1" s="1"/>
  <c r="H61" i="1"/>
  <c r="J61" i="1" s="1"/>
  <c r="H74" i="1"/>
  <c r="J74" i="1" s="1"/>
  <c r="H104" i="1"/>
  <c r="J104" i="1" s="1"/>
  <c r="F111" i="1"/>
  <c r="H115" i="1"/>
  <c r="F11" i="2"/>
  <c r="F15" i="2" s="1"/>
  <c r="S8" i="22"/>
  <c r="AH29" i="29"/>
  <c r="Q34" i="28" s="1"/>
  <c r="R215" i="34" s="1"/>
  <c r="H49" i="1"/>
  <c r="F114" i="1"/>
  <c r="G36" i="2"/>
  <c r="G43" i="2"/>
  <c r="K12" i="20"/>
  <c r="O58" i="34" s="1"/>
  <c r="M14" i="28"/>
  <c r="D17" i="33"/>
  <c r="H50" i="1"/>
  <c r="J50" i="1" s="1"/>
  <c r="F82" i="1"/>
  <c r="F101" i="1"/>
  <c r="G37" i="2"/>
  <c r="H37" i="2" s="1"/>
  <c r="V8" i="22"/>
  <c r="W13" i="22"/>
  <c r="I38" i="28"/>
  <c r="J219" i="34" s="1"/>
  <c r="H47" i="1"/>
  <c r="H59" i="1"/>
  <c r="J59" i="1" s="1"/>
  <c r="H79" i="1"/>
  <c r="J79" i="1" s="1"/>
  <c r="H87" i="1"/>
  <c r="H117" i="1"/>
  <c r="J117" i="1" s="1"/>
  <c r="H121" i="1"/>
  <c r="J121" i="1" s="1"/>
  <c r="H129" i="1"/>
  <c r="J129" i="1" s="1"/>
  <c r="G25" i="2"/>
  <c r="H25" i="2" s="1"/>
  <c r="H23" i="2" s="1"/>
  <c r="F29" i="2"/>
  <c r="F53" i="2"/>
  <c r="O8" i="22"/>
  <c r="W8" i="22"/>
  <c r="I78" i="32"/>
  <c r="I48" i="32"/>
  <c r="F43" i="22"/>
  <c r="F44" i="22" s="1"/>
  <c r="K115" i="34"/>
  <c r="H61" i="32"/>
  <c r="H130" i="1"/>
  <c r="G22" i="22"/>
  <c r="H126" i="1"/>
  <c r="K113" i="34"/>
  <c r="AK23" i="29"/>
  <c r="AK16" i="29"/>
  <c r="R12" i="29"/>
  <c r="X12" i="29" s="1"/>
  <c r="AD12" i="29" s="1"/>
  <c r="AJ12" i="29" s="1"/>
  <c r="AD23" i="29"/>
  <c r="AJ23" i="29" s="1"/>
  <c r="AK18" i="29"/>
  <c r="C24" i="29"/>
  <c r="X16" i="29"/>
  <c r="AD16" i="29" s="1"/>
  <c r="AJ16" i="29" s="1"/>
  <c r="S29" i="29"/>
  <c r="AN35" i="29"/>
  <c r="AD21" i="29"/>
  <c r="AJ21" i="29" s="1"/>
  <c r="AK29" i="29"/>
  <c r="L11" i="29"/>
  <c r="Y35" i="29"/>
  <c r="M36" i="28" s="1"/>
  <c r="N217" i="34" s="1"/>
  <c r="AB35" i="29"/>
  <c r="N36" i="28" s="1"/>
  <c r="O217" i="34" s="1"/>
  <c r="AE35" i="29"/>
  <c r="P36" i="28" s="1"/>
  <c r="Q217" i="34" s="1"/>
  <c r="X17" i="29"/>
  <c r="AD17" i="29" s="1"/>
  <c r="AJ17" i="29" s="1"/>
  <c r="AK35" i="29"/>
  <c r="P17" i="22"/>
  <c r="X17" i="22"/>
  <c r="P13" i="22"/>
  <c r="X13" i="22"/>
  <c r="Q17" i="22"/>
  <c r="Q13" i="22"/>
  <c r="R17" i="22"/>
  <c r="U8" i="22"/>
  <c r="T8" i="22"/>
  <c r="R13" i="22"/>
  <c r="S17" i="22"/>
  <c r="S13" i="22"/>
  <c r="T17" i="22"/>
  <c r="T13" i="22"/>
  <c r="U17" i="22"/>
  <c r="G84" i="32"/>
  <c r="G64" i="32"/>
  <c r="H13" i="1"/>
  <c r="H58" i="1"/>
  <c r="J58" i="1" s="1"/>
  <c r="F71" i="1"/>
  <c r="H92" i="1"/>
  <c r="J92" i="1" s="1"/>
  <c r="H99" i="1"/>
  <c r="J99" i="1" s="1"/>
  <c r="H108" i="1"/>
  <c r="J108" i="1" s="1"/>
  <c r="H124" i="1"/>
  <c r="J124" i="1" s="1"/>
  <c r="F46" i="1"/>
  <c r="H93" i="1"/>
  <c r="J93" i="1" s="1"/>
  <c r="H96" i="1"/>
  <c r="H105" i="1"/>
  <c r="H109" i="1"/>
  <c r="J109" i="1" s="1"/>
  <c r="H94" i="1"/>
  <c r="J94" i="1" s="1"/>
  <c r="F106" i="1"/>
  <c r="F76" i="1"/>
  <c r="H80" i="1"/>
  <c r="J80" i="1" s="1"/>
  <c r="H84" i="1"/>
  <c r="J84" i="1" s="1"/>
  <c r="F86" i="1"/>
  <c r="F119" i="1"/>
  <c r="H52" i="36" s="1"/>
  <c r="H43" i="1"/>
  <c r="J43" i="1" s="1"/>
  <c r="H116" i="1"/>
  <c r="F24" i="1"/>
  <c r="H81" i="1"/>
  <c r="H60" i="26"/>
  <c r="J51" i="34" s="1"/>
  <c r="G42" i="22"/>
  <c r="G43" i="22" s="1"/>
  <c r="G46" i="22" s="1"/>
  <c r="G47" i="22" s="1"/>
  <c r="I15" i="32" s="1"/>
  <c r="I40" i="26"/>
  <c r="K33" i="34" s="1"/>
  <c r="H6" i="22"/>
  <c r="G16" i="26"/>
  <c r="H22" i="22"/>
  <c r="H69" i="32"/>
  <c r="H32" i="36" s="1"/>
  <c r="M150" i="34" s="1"/>
  <c r="G6" i="22"/>
  <c r="G7" i="22" s="1"/>
  <c r="I20" i="32" s="1"/>
  <c r="E43" i="22"/>
  <c r="E46" i="22" s="1"/>
  <c r="E47" i="22" s="1"/>
  <c r="G15" i="32" s="1"/>
  <c r="H21" i="22"/>
  <c r="E10" i="22"/>
  <c r="G25" i="36" s="1"/>
  <c r="E21" i="22"/>
  <c r="E23" i="22" s="1"/>
  <c r="G26" i="36" s="1"/>
  <c r="F21" i="22"/>
  <c r="E36" i="22"/>
  <c r="G21" i="22"/>
  <c r="H16" i="34"/>
  <c r="F3" i="22"/>
  <c r="J85" i="32"/>
  <c r="O127" i="34"/>
  <c r="N42" i="30"/>
  <c r="M42" i="30"/>
  <c r="I42" i="30"/>
  <c r="R42" i="30"/>
  <c r="H42" i="30"/>
  <c r="Q42" i="30"/>
  <c r="G42" i="30"/>
  <c r="P42" i="30"/>
  <c r="O42" i="30"/>
  <c r="L42" i="30"/>
  <c r="K42" i="30"/>
  <c r="D106" i="30"/>
  <c r="E55" i="29"/>
  <c r="D8" i="1"/>
  <c r="E8" i="2" s="1"/>
  <c r="G11" i="36" s="1"/>
  <c r="I8" i="20"/>
  <c r="M122" i="34"/>
  <c r="J12" i="22"/>
  <c r="B31" i="30"/>
  <c r="B134" i="1"/>
  <c r="B71" i="2" s="1"/>
  <c r="B65" i="30"/>
  <c r="B5" i="2"/>
  <c r="B5" i="1"/>
  <c r="B14" i="30"/>
  <c r="D70" i="30" s="1"/>
  <c r="K111" i="34"/>
  <c r="H57" i="32"/>
  <c r="F60" i="26"/>
  <c r="H51" i="34" s="1"/>
  <c r="G60" i="26"/>
  <c r="I51" i="34" s="1"/>
  <c r="E3" i="33"/>
  <c r="D24" i="33"/>
  <c r="J32" i="33" s="1"/>
  <c r="D22" i="33"/>
  <c r="I31" i="33" s="1"/>
  <c r="D20" i="33"/>
  <c r="D18" i="33"/>
  <c r="D16" i="33"/>
  <c r="D6" i="33"/>
  <c r="D19" i="33"/>
  <c r="N2" i="22"/>
  <c r="H101" i="30"/>
  <c r="H28" i="30"/>
  <c r="H52" i="30" s="1"/>
  <c r="AC38" i="29"/>
  <c r="O38" i="28"/>
  <c r="D21" i="33"/>
  <c r="J33" i="1"/>
  <c r="F32" i="28"/>
  <c r="D42" i="1" s="1"/>
  <c r="C15" i="33"/>
  <c r="C17" i="33"/>
  <c r="C19" i="33"/>
  <c r="C21" i="33"/>
  <c r="C23" i="33"/>
  <c r="P21" i="28"/>
  <c r="P35" i="28"/>
  <c r="Q216" i="34" s="1"/>
  <c r="J77" i="1"/>
  <c r="I32" i="28"/>
  <c r="H17" i="36" s="1"/>
  <c r="M138" i="34" s="1"/>
  <c r="L38" i="28"/>
  <c r="M219" i="34" s="1"/>
  <c r="D34" i="1"/>
  <c r="D39" i="1"/>
  <c r="N10" i="29"/>
  <c r="P10" i="29" s="1"/>
  <c r="H15" i="28" s="1"/>
  <c r="I196" i="34" s="1"/>
  <c r="U12" i="29"/>
  <c r="T12" i="29"/>
  <c r="V12" i="29" s="1"/>
  <c r="K18" i="28" s="1"/>
  <c r="L199" i="34" s="1"/>
  <c r="AG20" i="29"/>
  <c r="AF20" i="29"/>
  <c r="AH20" i="29" s="1"/>
  <c r="Q28" i="28" s="1"/>
  <c r="R209" i="34" s="1"/>
  <c r="J32" i="28"/>
  <c r="G75" i="32" s="1"/>
  <c r="C16" i="33"/>
  <c r="C18" i="33"/>
  <c r="C20" i="33"/>
  <c r="C22" i="33"/>
  <c r="C24" i="33"/>
  <c r="I32" i="33" s="1"/>
  <c r="F38" i="28"/>
  <c r="P19" i="28"/>
  <c r="L32" i="28"/>
  <c r="I17" i="36" s="1"/>
  <c r="O138" i="34" s="1"/>
  <c r="F17" i="1"/>
  <c r="AG32" i="30" s="1"/>
  <c r="H18" i="1"/>
  <c r="O25" i="1"/>
  <c r="H25" i="1"/>
  <c r="F53" i="1"/>
  <c r="F52" i="1" s="1"/>
  <c r="J89" i="1"/>
  <c r="F27" i="2"/>
  <c r="G26" i="2"/>
  <c r="F18" i="22"/>
  <c r="H91" i="1"/>
  <c r="J112" i="1"/>
  <c r="G12" i="2"/>
  <c r="H30" i="2"/>
  <c r="N43" i="2"/>
  <c r="H48" i="1"/>
  <c r="O49" i="1"/>
  <c r="O96" i="1"/>
  <c r="O105" i="1"/>
  <c r="O116" i="1"/>
  <c r="O126" i="1"/>
  <c r="O130" i="1"/>
  <c r="J130" i="1" s="1"/>
  <c r="F17" i="2"/>
  <c r="F21" i="2" s="1"/>
  <c r="G18" i="2"/>
  <c r="F33" i="2"/>
  <c r="F47" i="2"/>
  <c r="F51" i="2" s="1"/>
  <c r="G56" i="2"/>
  <c r="K63" i="29"/>
  <c r="F43" i="29"/>
  <c r="H63" i="1"/>
  <c r="J63" i="1" s="1"/>
  <c r="H73" i="1"/>
  <c r="H83" i="1"/>
  <c r="H100" i="1"/>
  <c r="J100" i="1" s="1"/>
  <c r="H110" i="1"/>
  <c r="J110" i="1" s="1"/>
  <c r="G47" i="2"/>
  <c r="H48" i="2"/>
  <c r="F59" i="2"/>
  <c r="F63" i="2" s="1"/>
  <c r="G60" i="2"/>
  <c r="H54" i="1"/>
  <c r="H10" i="2"/>
  <c r="N36" i="2"/>
  <c r="G42" i="2"/>
  <c r="E67" i="2"/>
  <c r="H72" i="1"/>
  <c r="H120" i="1"/>
  <c r="F23" i="2"/>
  <c r="H55" i="2"/>
  <c r="H53" i="2" s="1"/>
  <c r="F10" i="22"/>
  <c r="H25" i="36" s="1"/>
  <c r="G44" i="2"/>
  <c r="L9" i="29"/>
  <c r="R8" i="22"/>
  <c r="E18" i="22"/>
  <c r="AK51" i="29"/>
  <c r="L8" i="29"/>
  <c r="E6" i="22"/>
  <c r="E7" i="22" s="1"/>
  <c r="G20" i="32" s="1"/>
  <c r="G19" i="32" s="1"/>
  <c r="G18" i="22"/>
  <c r="F6" i="22"/>
  <c r="M8" i="22"/>
  <c r="Y8" i="22" s="1"/>
  <c r="H18" i="22"/>
  <c r="AB38" i="29"/>
  <c r="AK19" i="29"/>
  <c r="AD20" i="29"/>
  <c r="AJ20" i="29" s="1"/>
  <c r="V29" i="29"/>
  <c r="S32" i="29"/>
  <c r="J35" i="28" s="1"/>
  <c r="K216" i="34" s="1"/>
  <c r="AH32" i="29"/>
  <c r="Q35" i="28" s="1"/>
  <c r="R216" i="34" s="1"/>
  <c r="S47" i="29"/>
  <c r="AE47" i="29"/>
  <c r="L10" i="29"/>
  <c r="R10" i="29" s="1"/>
  <c r="X10" i="29" s="1"/>
  <c r="AD10" i="29" s="1"/>
  <c r="AJ10" i="29" s="1"/>
  <c r="R14" i="29"/>
  <c r="X14" i="29" s="1"/>
  <c r="AD14" i="29" s="1"/>
  <c r="AJ14" i="29" s="1"/>
  <c r="Y29" i="29"/>
  <c r="AN29" i="29"/>
  <c r="AK32" i="29"/>
  <c r="AE38" i="29"/>
  <c r="P37" i="28" s="1"/>
  <c r="Q218" i="34" s="1"/>
  <c r="AI51" i="29"/>
  <c r="V32" i="29"/>
  <c r="K35" i="28" s="1"/>
  <c r="L216" i="34" s="1"/>
  <c r="AK22" i="29"/>
  <c r="Y32" i="29"/>
  <c r="M35" i="28" s="1"/>
  <c r="N216" i="34" s="1"/>
  <c r="AN32" i="29"/>
  <c r="AH38" i="29"/>
  <c r="Q37" i="28" s="1"/>
  <c r="R218" i="34" s="1"/>
  <c r="AE29" i="29"/>
  <c r="AK38" i="29"/>
  <c r="AB32" i="29"/>
  <c r="N35" i="28" s="1"/>
  <c r="O216" i="34" s="1"/>
  <c r="AA38" i="29"/>
  <c r="P233" i="34"/>
  <c r="K133" i="34"/>
  <c r="K170" i="34" s="1"/>
  <c r="M133" i="34"/>
  <c r="M170" i="34" s="1"/>
  <c r="M83" i="34"/>
  <c r="O133" i="34"/>
  <c r="O170" i="34" s="1"/>
  <c r="Q51" i="28"/>
  <c r="G36" i="20"/>
  <c r="R106" i="30"/>
  <c r="G58" i="29" l="1"/>
  <c r="N34" i="30"/>
  <c r="G34" i="30"/>
  <c r="M22" i="22" s="1"/>
  <c r="G56" i="29"/>
  <c r="M34" i="30"/>
  <c r="K34" i="30"/>
  <c r="R34" i="30"/>
  <c r="J34" i="30"/>
  <c r="P22" i="22" s="1"/>
  <c r="P23" i="22" s="1"/>
  <c r="P34" i="30"/>
  <c r="V22" i="22" s="1"/>
  <c r="V23" i="22" s="1"/>
  <c r="H34" i="30"/>
  <c r="N22" i="22" s="1"/>
  <c r="N23" i="22" s="1"/>
  <c r="AG21" i="29"/>
  <c r="AM21" i="29" s="1"/>
  <c r="O34" i="30"/>
  <c r="U22" i="22" s="1"/>
  <c r="U23" i="22" s="1"/>
  <c r="Q34" i="30"/>
  <c r="W22" i="22" s="1"/>
  <c r="W23" i="22" s="1"/>
  <c r="I34" i="30"/>
  <c r="O22" i="22" s="1"/>
  <c r="O23" i="22" s="1"/>
  <c r="Y13" i="22"/>
  <c r="AM31" i="30"/>
  <c r="AK31" i="30"/>
  <c r="AI32" i="30"/>
  <c r="AL32" i="30" s="1"/>
  <c r="AP31" i="30"/>
  <c r="AS31" i="30" s="1"/>
  <c r="AV31" i="30" s="1"/>
  <c r="AB32" i="30"/>
  <c r="AD32" i="30" s="1"/>
  <c r="Y17" i="22"/>
  <c r="H47" i="2"/>
  <c r="H34" i="32"/>
  <c r="M95" i="34" s="1"/>
  <c r="F35" i="1"/>
  <c r="F41" i="1" s="1"/>
  <c r="R41" i="36" s="1"/>
  <c r="F37" i="22"/>
  <c r="K144" i="34"/>
  <c r="P13" i="28"/>
  <c r="Q194" i="34" s="1"/>
  <c r="H76" i="32"/>
  <c r="H27" i="36"/>
  <c r="M145" i="34" s="1"/>
  <c r="U13" i="29"/>
  <c r="I61" i="32"/>
  <c r="I31" i="36" s="1"/>
  <c r="O149" i="34" s="1"/>
  <c r="H31" i="36"/>
  <c r="M149" i="34" s="1"/>
  <c r="E39" i="22"/>
  <c r="E40" i="22" s="1"/>
  <c r="G31" i="32" s="1"/>
  <c r="G27" i="36"/>
  <c r="K145" i="34" s="1"/>
  <c r="Q41" i="36"/>
  <c r="H35" i="34"/>
  <c r="M54" i="34" s="1"/>
  <c r="J192" i="34"/>
  <c r="M177" i="34"/>
  <c r="H47" i="32"/>
  <c r="M104" i="34" s="1"/>
  <c r="Q11" i="36"/>
  <c r="C2" i="35" s="1"/>
  <c r="C49" i="35" s="1"/>
  <c r="G46" i="36"/>
  <c r="Q42" i="36"/>
  <c r="AN32" i="30"/>
  <c r="H86" i="32"/>
  <c r="R8" i="29"/>
  <c r="X8" i="29" s="1"/>
  <c r="AD8" i="29" s="1"/>
  <c r="AJ8" i="29" s="1"/>
  <c r="P219" i="34"/>
  <c r="J18" i="36"/>
  <c r="Q139" i="34" s="1"/>
  <c r="P213" i="34"/>
  <c r="J17" i="36"/>
  <c r="Q138" i="34" s="1"/>
  <c r="G219" i="34"/>
  <c r="F48" i="28"/>
  <c r="G230" i="34" s="1"/>
  <c r="N8" i="29"/>
  <c r="P8" i="29" s="1"/>
  <c r="G17" i="36"/>
  <c r="K138" i="34" s="1"/>
  <c r="U55" i="30"/>
  <c r="H30" i="36"/>
  <c r="M148" i="34" s="1"/>
  <c r="R11" i="29"/>
  <c r="I29" i="36"/>
  <c r="G49" i="36"/>
  <c r="G213" i="34"/>
  <c r="J105" i="1"/>
  <c r="J101" i="1" s="1"/>
  <c r="H101" i="1"/>
  <c r="H86" i="1"/>
  <c r="S42" i="30"/>
  <c r="T42" i="30" s="1"/>
  <c r="J51" i="1"/>
  <c r="I33" i="30"/>
  <c r="O18" i="22" s="1"/>
  <c r="O19" i="22" s="1"/>
  <c r="J73" i="1"/>
  <c r="Q74" i="34"/>
  <c r="O74" i="34"/>
  <c r="I69" i="32"/>
  <c r="I32" i="36" s="1"/>
  <c r="O150" i="34" s="1"/>
  <c r="K42" i="28"/>
  <c r="K41" i="29"/>
  <c r="AC24" i="29"/>
  <c r="AF23" i="29"/>
  <c r="AH23" i="29" s="1"/>
  <c r="Q31" i="28" s="1"/>
  <c r="R212" i="34" s="1"/>
  <c r="R9" i="29"/>
  <c r="X9" i="29" s="1"/>
  <c r="AD9" i="29" s="1"/>
  <c r="AJ9" i="29" s="1"/>
  <c r="H29" i="2"/>
  <c r="H33" i="2" s="1"/>
  <c r="G11" i="20"/>
  <c r="G47" i="36" s="1"/>
  <c r="H91" i="32"/>
  <c r="I16" i="34"/>
  <c r="L10" i="28"/>
  <c r="H12" i="1"/>
  <c r="K124" i="34"/>
  <c r="Q48" i="29"/>
  <c r="Q51" i="29" s="1"/>
  <c r="W49" i="29"/>
  <c r="Y49" i="29" s="1"/>
  <c r="Y51" i="29" s="1"/>
  <c r="Z19" i="29"/>
  <c r="AB19" i="29" s="1"/>
  <c r="N26" i="28" s="1"/>
  <c r="O207" i="34" s="1"/>
  <c r="U15" i="29"/>
  <c r="AA15" i="29" s="1"/>
  <c r="U14" i="29"/>
  <c r="Z14" i="29" s="1"/>
  <c r="AB14" i="29" s="1"/>
  <c r="N20" i="28" s="1"/>
  <c r="O201" i="34" s="1"/>
  <c r="K24" i="29"/>
  <c r="N9" i="29"/>
  <c r="P9" i="29" s="1"/>
  <c r="H14" i="28" s="1"/>
  <c r="I195" i="34" s="1"/>
  <c r="AF22" i="29"/>
  <c r="AH22" i="29" s="1"/>
  <c r="Q30" i="28" s="1"/>
  <c r="R211" i="34" s="1"/>
  <c r="N11" i="29"/>
  <c r="P11" i="29" s="1"/>
  <c r="H16" i="28" s="1"/>
  <c r="I197" i="34" s="1"/>
  <c r="O11" i="29"/>
  <c r="U11" i="29" s="1"/>
  <c r="AG22" i="29"/>
  <c r="AM22" i="29" s="1"/>
  <c r="AE13" i="29"/>
  <c r="AK13" i="29" s="1"/>
  <c r="Q200" i="34"/>
  <c r="W24" i="29"/>
  <c r="AE14" i="29"/>
  <c r="AK14" i="29" s="1"/>
  <c r="Q201" i="34"/>
  <c r="Y9" i="29"/>
  <c r="N195" i="34"/>
  <c r="Y10" i="29"/>
  <c r="N196" i="34"/>
  <c r="AE12" i="29"/>
  <c r="AK12" i="29" s="1"/>
  <c r="Q199" i="34"/>
  <c r="Q24" i="29"/>
  <c r="Z16" i="29"/>
  <c r="AB16" i="29" s="1"/>
  <c r="N23" i="28" s="1"/>
  <c r="O204" i="34" s="1"/>
  <c r="AA17" i="29"/>
  <c r="AG17" i="29" s="1"/>
  <c r="J213" i="34"/>
  <c r="AE15" i="29"/>
  <c r="AK15" i="29" s="1"/>
  <c r="Q202" i="34"/>
  <c r="P16" i="28"/>
  <c r="N197" i="34"/>
  <c r="H38" i="28"/>
  <c r="I219" i="34" s="1"/>
  <c r="I215" i="34"/>
  <c r="G38" i="28"/>
  <c r="G36" i="36" s="1"/>
  <c r="K154" i="34" s="1"/>
  <c r="H215" i="34"/>
  <c r="M213" i="34"/>
  <c r="K213" i="34"/>
  <c r="S24" i="29"/>
  <c r="N194" i="34"/>
  <c r="K4" i="29"/>
  <c r="M63" i="29" s="1"/>
  <c r="D45" i="1"/>
  <c r="E46" i="1" s="1"/>
  <c r="AA35" i="29"/>
  <c r="U49" i="29" s="1"/>
  <c r="H7" i="22"/>
  <c r="J20" i="32" s="1"/>
  <c r="H111" i="1"/>
  <c r="M41" i="29"/>
  <c r="Q33" i="30"/>
  <c r="W18" i="22" s="1"/>
  <c r="W19" i="22" s="1"/>
  <c r="R33" i="30"/>
  <c r="X18" i="22" s="1"/>
  <c r="X19" i="22" s="1"/>
  <c r="K33" i="30"/>
  <c r="Q18" i="22" s="1"/>
  <c r="Q19" i="22" s="1"/>
  <c r="M33" i="30"/>
  <c r="S18" i="22" s="1"/>
  <c r="S19" i="22" s="1"/>
  <c r="G29" i="2"/>
  <c r="G33" i="2" s="1"/>
  <c r="J13" i="1"/>
  <c r="F68" i="2"/>
  <c r="F65" i="2"/>
  <c r="M12" i="20"/>
  <c r="Q58" i="34" s="1"/>
  <c r="J33" i="30"/>
  <c r="P18" i="22" s="1"/>
  <c r="P19" i="22" s="1"/>
  <c r="N33" i="30"/>
  <c r="T18" i="22" s="1"/>
  <c r="T19" i="22" s="1"/>
  <c r="O33" i="30"/>
  <c r="U18" i="22" s="1"/>
  <c r="U19" i="22" s="1"/>
  <c r="H33" i="30"/>
  <c r="P33" i="30"/>
  <c r="V18" i="22" s="1"/>
  <c r="V19" i="22" s="1"/>
  <c r="L33" i="30"/>
  <c r="R18" i="22" s="1"/>
  <c r="R19" i="22" s="1"/>
  <c r="G39" i="30"/>
  <c r="J16" i="30"/>
  <c r="K16" i="30" s="1"/>
  <c r="O2" i="22"/>
  <c r="H33" i="22"/>
  <c r="E33" i="22"/>
  <c r="E44" i="22"/>
  <c r="M65" i="29"/>
  <c r="F46" i="22"/>
  <c r="F47" i="22" s="1"/>
  <c r="H15" i="32" s="1"/>
  <c r="H16" i="26"/>
  <c r="I28" i="30"/>
  <c r="I52" i="30" s="1"/>
  <c r="E2" i="33"/>
  <c r="E25" i="33" s="1"/>
  <c r="J24" i="29"/>
  <c r="H36" i="2"/>
  <c r="H35" i="2" s="1"/>
  <c r="H39" i="2" s="1"/>
  <c r="H43" i="2"/>
  <c r="P15" i="28"/>
  <c r="O29" i="29"/>
  <c r="N47" i="29" s="1"/>
  <c r="N51" i="29" s="1"/>
  <c r="O98" i="34"/>
  <c r="H114" i="1"/>
  <c r="J47" i="1"/>
  <c r="J87" i="1"/>
  <c r="O48" i="28"/>
  <c r="P230" i="34" s="1"/>
  <c r="M47" i="29"/>
  <c r="M51" i="29" s="1"/>
  <c r="I24" i="29"/>
  <c r="S41" i="29"/>
  <c r="O65" i="29"/>
  <c r="H23" i="22"/>
  <c r="J26" i="36" s="1"/>
  <c r="F23" i="22"/>
  <c r="F28" i="33"/>
  <c r="G35" i="2"/>
  <c r="G39" i="2" s="1"/>
  <c r="J126" i="1"/>
  <c r="P14" i="28"/>
  <c r="J116" i="1"/>
  <c r="H95" i="1"/>
  <c r="N38" i="28"/>
  <c r="O219" i="34" s="1"/>
  <c r="G23" i="2"/>
  <c r="G27" i="2" s="1"/>
  <c r="M32" i="28"/>
  <c r="H76" i="1"/>
  <c r="F45" i="1"/>
  <c r="G127" i="1" s="1"/>
  <c r="J49" i="1"/>
  <c r="J115" i="1"/>
  <c r="Y8" i="29"/>
  <c r="H42" i="22"/>
  <c r="H43" i="22" s="1"/>
  <c r="H46" i="22" s="1"/>
  <c r="H47" i="22" s="1"/>
  <c r="J15" i="32" s="1"/>
  <c r="H50" i="2"/>
  <c r="G51" i="2"/>
  <c r="O105" i="34"/>
  <c r="J48" i="32"/>
  <c r="O125" i="34"/>
  <c r="J78" i="32"/>
  <c r="Q125" i="34" s="1"/>
  <c r="G44" i="22"/>
  <c r="G23" i="22"/>
  <c r="I26" i="36" s="1"/>
  <c r="M120" i="34"/>
  <c r="Q38" i="28"/>
  <c r="S46" i="29"/>
  <c r="J34" i="28"/>
  <c r="G82" i="32"/>
  <c r="E37" i="22"/>
  <c r="E13" i="22"/>
  <c r="E14" i="22" s="1"/>
  <c r="G23" i="32" s="1"/>
  <c r="G25" i="32" s="1"/>
  <c r="F67" i="2"/>
  <c r="F64" i="2"/>
  <c r="E57" i="29"/>
  <c r="G87" i="32" s="1"/>
  <c r="J96" i="1"/>
  <c r="J95" i="1" s="1"/>
  <c r="G62" i="32"/>
  <c r="K116" i="34" s="1"/>
  <c r="G30" i="20"/>
  <c r="K75" i="34" s="1"/>
  <c r="J81" i="1"/>
  <c r="J76" i="1" s="1"/>
  <c r="F39" i="1"/>
  <c r="J111" i="1"/>
  <c r="F11" i="1"/>
  <c r="R40" i="36" s="1"/>
  <c r="G92" i="32"/>
  <c r="G3" i="22"/>
  <c r="E11" i="22"/>
  <c r="G43" i="26"/>
  <c r="K8" i="20"/>
  <c r="I55" i="29" s="1"/>
  <c r="E24" i="22"/>
  <c r="E26" i="22"/>
  <c r="M115" i="34"/>
  <c r="G14" i="32"/>
  <c r="J120" i="1"/>
  <c r="J119" i="1" s="1"/>
  <c r="H119" i="1"/>
  <c r="I52" i="36" s="1"/>
  <c r="H12" i="2"/>
  <c r="H11" i="2" s="1"/>
  <c r="H15" i="2" s="1"/>
  <c r="G11" i="2"/>
  <c r="G15" i="2" s="1"/>
  <c r="AA12" i="29"/>
  <c r="Z12" i="29"/>
  <c r="AB12" i="29" s="1"/>
  <c r="N18" i="28" s="1"/>
  <c r="O199" i="34" s="1"/>
  <c r="U9" i="29"/>
  <c r="T9" i="29"/>
  <c r="V9" i="29" s="1"/>
  <c r="K14" i="28" s="1"/>
  <c r="L195" i="34" s="1"/>
  <c r="AE41" i="29"/>
  <c r="P34" i="28"/>
  <c r="I82" i="32"/>
  <c r="L48" i="28"/>
  <c r="M230" i="34" s="1"/>
  <c r="G29" i="33"/>
  <c r="D37" i="1"/>
  <c r="D32" i="1" s="1"/>
  <c r="AA18" i="29"/>
  <c r="Z18" i="29"/>
  <c r="AB18" i="29" s="1"/>
  <c r="N25" i="28" s="1"/>
  <c r="O206" i="34" s="1"/>
  <c r="H53" i="1"/>
  <c r="J54" i="1"/>
  <c r="J53" i="1" s="1"/>
  <c r="J52" i="1" s="1"/>
  <c r="G57" i="2"/>
  <c r="H56" i="2"/>
  <c r="H57" i="2" s="1"/>
  <c r="H26" i="2"/>
  <c r="H27" i="2" s="1"/>
  <c r="J25" i="1"/>
  <c r="J24" i="1" s="1"/>
  <c r="H24" i="1"/>
  <c r="H30" i="33"/>
  <c r="H84" i="32"/>
  <c r="M111" i="34"/>
  <c r="I57" i="32"/>
  <c r="J14" i="22"/>
  <c r="B32" i="30"/>
  <c r="G55" i="29"/>
  <c r="F8" i="1"/>
  <c r="Q11" i="20"/>
  <c r="G11" i="32"/>
  <c r="O101" i="34"/>
  <c r="J48" i="1"/>
  <c r="H44" i="2"/>
  <c r="H90" i="1"/>
  <c r="J91" i="1"/>
  <c r="J90" i="1" s="1"/>
  <c r="AL21" i="29"/>
  <c r="AN21" i="29" s="1"/>
  <c r="AM20" i="29"/>
  <c r="AL20" i="29"/>
  <c r="AN20" i="29" s="1"/>
  <c r="U8" i="29"/>
  <c r="T8" i="29"/>
  <c r="Z13" i="29"/>
  <c r="AB13" i="29" s="1"/>
  <c r="N19" i="28" s="1"/>
  <c r="O200" i="34" s="1"/>
  <c r="AA13" i="29"/>
  <c r="J106" i="1"/>
  <c r="P43" i="30"/>
  <c r="H43" i="30"/>
  <c r="O43" i="30"/>
  <c r="G43" i="30"/>
  <c r="I43" i="30"/>
  <c r="R43" i="30"/>
  <c r="Q43" i="30"/>
  <c r="N43" i="30"/>
  <c r="M43" i="30"/>
  <c r="L43" i="30"/>
  <c r="K43" i="30"/>
  <c r="J43" i="30"/>
  <c r="H46" i="1"/>
  <c r="I48" i="28"/>
  <c r="AG19" i="29"/>
  <c r="AF19" i="29"/>
  <c r="AH19" i="29" s="1"/>
  <c r="Q26" i="28" s="1"/>
  <c r="R207" i="34" s="1"/>
  <c r="AC41" i="29"/>
  <c r="AC50" i="29"/>
  <c r="AG38" i="29"/>
  <c r="H106" i="1"/>
  <c r="G9" i="22"/>
  <c r="G10" i="22" s="1"/>
  <c r="I25" i="36" s="1"/>
  <c r="H9" i="22"/>
  <c r="H10" i="22" s="1"/>
  <c r="J25" i="36" s="1"/>
  <c r="J72" i="1"/>
  <c r="H71" i="1"/>
  <c r="U50" i="29"/>
  <c r="AF50" i="29"/>
  <c r="J82" i="32"/>
  <c r="V41" i="29"/>
  <c r="K34" i="28"/>
  <c r="AK41" i="29"/>
  <c r="AH41" i="29"/>
  <c r="AB41" i="29"/>
  <c r="Q64" i="29"/>
  <c r="J18" i="1"/>
  <c r="H17" i="1"/>
  <c r="F3" i="33"/>
  <c r="E24" i="33"/>
  <c r="K32" i="33" s="1"/>
  <c r="E22" i="33"/>
  <c r="E20" i="33"/>
  <c r="E18" i="33"/>
  <c r="E16" i="33"/>
  <c r="E7" i="33"/>
  <c r="E23" i="33"/>
  <c r="E21" i="33"/>
  <c r="E19" i="33"/>
  <c r="E17" i="33"/>
  <c r="E15" i="33"/>
  <c r="F13" i="22"/>
  <c r="F11" i="22"/>
  <c r="AN41" i="29"/>
  <c r="H60" i="2"/>
  <c r="H59" i="2" s="1"/>
  <c r="H63" i="2" s="1"/>
  <c r="G59" i="2"/>
  <c r="H82" i="1"/>
  <c r="J83" i="1"/>
  <c r="J82" i="1" s="1"/>
  <c r="G17" i="2"/>
  <c r="G21" i="2" s="1"/>
  <c r="H18" i="2"/>
  <c r="H17" i="2" s="1"/>
  <c r="H21" i="2" s="1"/>
  <c r="F34" i="1"/>
  <c r="H64" i="32"/>
  <c r="U32" i="29"/>
  <c r="AG16" i="29"/>
  <c r="AF16" i="29"/>
  <c r="AH16" i="29" s="1"/>
  <c r="Q23" i="28" s="1"/>
  <c r="R204" i="34" s="1"/>
  <c r="U10" i="29"/>
  <c r="T10" i="29"/>
  <c r="V10" i="29" s="1"/>
  <c r="K15" i="28" s="1"/>
  <c r="L196" i="34" s="1"/>
  <c r="C6" i="33"/>
  <c r="O122" i="34"/>
  <c r="G35" i="22"/>
  <c r="G36" i="22" s="1"/>
  <c r="I27" i="36" s="1"/>
  <c r="O145" i="34" s="1"/>
  <c r="H35" i="22"/>
  <c r="H36" i="22" s="1"/>
  <c r="Y41" i="29"/>
  <c r="M34" i="28"/>
  <c r="H82" i="32"/>
  <c r="F7" i="22"/>
  <c r="H20" i="32" s="1"/>
  <c r="G41" i="2"/>
  <c r="G45" i="2" s="1"/>
  <c r="H42" i="2"/>
  <c r="H41" i="2" s="1"/>
  <c r="E66" i="2"/>
  <c r="AM23" i="29"/>
  <c r="AL23" i="29"/>
  <c r="AN23" i="29" s="1"/>
  <c r="K134" i="1"/>
  <c r="H71" i="2" s="1"/>
  <c r="S65" i="30"/>
  <c r="B64" i="30"/>
  <c r="Q22" i="22"/>
  <c r="Q23" i="22" s="1"/>
  <c r="X22" i="22"/>
  <c r="X23" i="22" s="1"/>
  <c r="T22" i="22"/>
  <c r="T23" i="22" s="1"/>
  <c r="S22" i="22"/>
  <c r="S23" i="22" s="1"/>
  <c r="H51" i="2" l="1"/>
  <c r="H45" i="2"/>
  <c r="I58" i="29"/>
  <c r="I56" i="29"/>
  <c r="I57" i="29" s="1"/>
  <c r="K58" i="29"/>
  <c r="AF17" i="29"/>
  <c r="AH17" i="29" s="1"/>
  <c r="Q24" i="28" s="1"/>
  <c r="R205" i="34" s="1"/>
  <c r="S34" i="30"/>
  <c r="T34" i="30" s="1"/>
  <c r="G33" i="32"/>
  <c r="F66" i="2"/>
  <c r="P32" i="28"/>
  <c r="J101" i="30"/>
  <c r="AT31" i="30"/>
  <c r="AR31" i="30"/>
  <c r="AM32" i="30"/>
  <c r="AF32" i="30"/>
  <c r="AP32" i="30"/>
  <c r="G40" i="30" s="1"/>
  <c r="H40" i="30" s="1"/>
  <c r="I40" i="30" s="1"/>
  <c r="J40" i="30" s="1"/>
  <c r="K40" i="30" s="1"/>
  <c r="L40" i="30" s="1"/>
  <c r="M40" i="30" s="1"/>
  <c r="N40" i="30" s="1"/>
  <c r="O40" i="30" s="1"/>
  <c r="P40" i="30" s="1"/>
  <c r="Q40" i="30" s="1"/>
  <c r="R40" i="30" s="1"/>
  <c r="AK32" i="30"/>
  <c r="I34" i="32"/>
  <c r="O95" i="34" s="1"/>
  <c r="H75" i="32"/>
  <c r="M124" i="34" s="1"/>
  <c r="E49" i="22"/>
  <c r="E58" i="26" s="1"/>
  <c r="M23" i="22"/>
  <c r="Y23" i="22" s="1"/>
  <c r="Y22" i="22"/>
  <c r="J61" i="32"/>
  <c r="J31" i="36" s="1"/>
  <c r="Q149" i="34" s="1"/>
  <c r="O144" i="34"/>
  <c r="J27" i="36"/>
  <c r="Q145" i="34" s="1"/>
  <c r="Q144" i="34"/>
  <c r="G68" i="32"/>
  <c r="I76" i="32"/>
  <c r="I75" i="32" s="1"/>
  <c r="O124" i="34" s="1"/>
  <c r="G24" i="22"/>
  <c r="S48" i="29"/>
  <c r="F26" i="22"/>
  <c r="F50" i="22" s="1"/>
  <c r="H20" i="36" s="1"/>
  <c r="M141" i="34" s="1"/>
  <c r="H26" i="36"/>
  <c r="M144" i="34" s="1"/>
  <c r="F2" i="33"/>
  <c r="F25" i="33" s="1"/>
  <c r="J28" i="30"/>
  <c r="J52" i="30" s="1"/>
  <c r="P2" i="22"/>
  <c r="I35" i="34"/>
  <c r="O54" i="34" s="1"/>
  <c r="M192" i="34"/>
  <c r="S64" i="29"/>
  <c r="J71" i="1"/>
  <c r="K56" i="29" s="1"/>
  <c r="O177" i="34"/>
  <c r="I47" i="32"/>
  <c r="O104" i="34" s="1"/>
  <c r="J52" i="36"/>
  <c r="I86" i="32"/>
  <c r="G38" i="30"/>
  <c r="AB31" i="30"/>
  <c r="L55" i="30"/>
  <c r="G55" i="30"/>
  <c r="H55" i="30"/>
  <c r="K174" i="34"/>
  <c r="G42" i="32"/>
  <c r="G39" i="32"/>
  <c r="K172" i="34"/>
  <c r="H58" i="36"/>
  <c r="H57" i="36" s="1"/>
  <c r="G95" i="32"/>
  <c r="K183" i="34"/>
  <c r="J55" i="30"/>
  <c r="K55" i="30"/>
  <c r="R55" i="30"/>
  <c r="P55" i="30"/>
  <c r="M55" i="30"/>
  <c r="I55" i="30"/>
  <c r="O55" i="30"/>
  <c r="Q55" i="30"/>
  <c r="N55" i="30"/>
  <c r="N213" i="34"/>
  <c r="I30" i="36"/>
  <c r="O148" i="34" s="1"/>
  <c r="X11" i="29"/>
  <c r="AD11" i="29" s="1"/>
  <c r="AJ11" i="29" s="1"/>
  <c r="R24" i="29"/>
  <c r="J29" i="36"/>
  <c r="S19" i="30"/>
  <c r="H49" i="36"/>
  <c r="G14" i="20"/>
  <c r="G55" i="36"/>
  <c r="Q13" i="36"/>
  <c r="G53" i="36"/>
  <c r="G48" i="28"/>
  <c r="H230" i="34" s="1"/>
  <c r="U54" i="30"/>
  <c r="J86" i="1"/>
  <c r="N18" i="22"/>
  <c r="N19" i="22" s="1"/>
  <c r="S33" i="30"/>
  <c r="T33" i="30" s="1"/>
  <c r="S43" i="30"/>
  <c r="T43" i="30" s="1"/>
  <c r="M18" i="22"/>
  <c r="E125" i="1"/>
  <c r="J114" i="1"/>
  <c r="F37" i="1"/>
  <c r="F32" i="1" s="1"/>
  <c r="E129" i="1"/>
  <c r="AA14" i="29"/>
  <c r="AF14" i="29" s="1"/>
  <c r="AH14" i="29" s="1"/>
  <c r="Q20" i="28" s="1"/>
  <c r="R201" i="34" s="1"/>
  <c r="J230" i="34"/>
  <c r="L223" i="34"/>
  <c r="J69" i="32"/>
  <c r="Q120" i="34" s="1"/>
  <c r="N42" i="28"/>
  <c r="R219" i="34"/>
  <c r="W51" i="29"/>
  <c r="N24" i="29"/>
  <c r="O24" i="29"/>
  <c r="E93" i="1"/>
  <c r="I91" i="32"/>
  <c r="E128" i="1"/>
  <c r="G18" i="20"/>
  <c r="K64" i="34" s="1"/>
  <c r="E126" i="1"/>
  <c r="Q127" i="34"/>
  <c r="Q98" i="34"/>
  <c r="AE8" i="29"/>
  <c r="AK8" i="29" s="1"/>
  <c r="J17" i="1"/>
  <c r="J86" i="32" s="1"/>
  <c r="H3" i="22"/>
  <c r="O10" i="28"/>
  <c r="J12" i="1"/>
  <c r="G26" i="22"/>
  <c r="G27" i="22" s="1"/>
  <c r="I27" i="32" s="1"/>
  <c r="H24" i="22"/>
  <c r="H26" i="22"/>
  <c r="H27" i="22" s="1"/>
  <c r="J27" i="32" s="1"/>
  <c r="E50" i="22"/>
  <c r="H35" i="1"/>
  <c r="H41" i="1" s="1"/>
  <c r="S41" i="36" s="1"/>
  <c r="Z15" i="29"/>
  <c r="AB15" i="29" s="1"/>
  <c r="N21" i="28" s="1"/>
  <c r="O202" i="34" s="1"/>
  <c r="S51" i="29"/>
  <c r="T11" i="29"/>
  <c r="V11" i="29" s="1"/>
  <c r="K16" i="28" s="1"/>
  <c r="L197" i="34" s="1"/>
  <c r="AL22" i="29"/>
  <c r="AN22" i="29" s="1"/>
  <c r="K43" i="29"/>
  <c r="J16" i="34"/>
  <c r="H43" i="26"/>
  <c r="J8" i="1"/>
  <c r="M8" i="20"/>
  <c r="K55" i="29" s="1"/>
  <c r="J11" i="32"/>
  <c r="J54" i="32" s="1"/>
  <c r="H8" i="2"/>
  <c r="E94" i="1"/>
  <c r="E114" i="1"/>
  <c r="E52" i="1"/>
  <c r="E101" i="1"/>
  <c r="E124" i="1"/>
  <c r="E71" i="1"/>
  <c r="E111" i="1"/>
  <c r="E82" i="1"/>
  <c r="E119" i="1"/>
  <c r="E106" i="1"/>
  <c r="E76" i="1"/>
  <c r="E123" i="1"/>
  <c r="E90" i="1"/>
  <c r="E86" i="1"/>
  <c r="E65" i="1"/>
  <c r="AF49" i="29"/>
  <c r="AG35" i="29"/>
  <c r="AA49" i="29" s="1"/>
  <c r="AE9" i="29"/>
  <c r="AK9" i="29" s="1"/>
  <c r="Q195" i="34"/>
  <c r="Q197" i="34"/>
  <c r="AE11" i="29"/>
  <c r="AK11" i="29" s="1"/>
  <c r="AE10" i="29"/>
  <c r="AK10" i="29" s="1"/>
  <c r="Q196" i="34"/>
  <c r="U29" i="29"/>
  <c r="G72" i="32" s="1"/>
  <c r="G70" i="32" s="1"/>
  <c r="U53" i="30"/>
  <c r="E130" i="1"/>
  <c r="E95" i="1"/>
  <c r="P38" i="28"/>
  <c r="J36" i="36" s="1"/>
  <c r="Q154" i="34" s="1"/>
  <c r="Q215" i="34"/>
  <c r="M38" i="28"/>
  <c r="N215" i="34"/>
  <c r="J38" i="28"/>
  <c r="K215" i="34"/>
  <c r="H219" i="34"/>
  <c r="K38" i="28"/>
  <c r="L219" i="34" s="1"/>
  <c r="L215" i="34"/>
  <c r="C4" i="33"/>
  <c r="C5" i="33" s="1"/>
  <c r="G63" i="2"/>
  <c r="G68" i="2" s="1"/>
  <c r="G64" i="2"/>
  <c r="Y24" i="29"/>
  <c r="Q4" i="29"/>
  <c r="Q43" i="29" s="1"/>
  <c r="E127" i="1"/>
  <c r="G89" i="32"/>
  <c r="K129" i="34" s="1"/>
  <c r="G83" i="32"/>
  <c r="I15" i="20"/>
  <c r="M61" i="34" s="1"/>
  <c r="H65" i="2"/>
  <c r="M15" i="20" s="1"/>
  <c r="H68" i="2"/>
  <c r="I11" i="20"/>
  <c r="H44" i="22"/>
  <c r="O41" i="29"/>
  <c r="T47" i="29"/>
  <c r="T51" i="29" s="1"/>
  <c r="F24" i="22"/>
  <c r="F49" i="22" s="1"/>
  <c r="F58" i="26" s="1"/>
  <c r="H49" i="34" s="1"/>
  <c r="U24" i="29"/>
  <c r="H13" i="28"/>
  <c r="P24" i="29"/>
  <c r="V8" i="29"/>
  <c r="H29" i="33"/>
  <c r="O120" i="34"/>
  <c r="Q105" i="34"/>
  <c r="F14" i="22"/>
  <c r="H23" i="32" s="1"/>
  <c r="E27" i="22"/>
  <c r="H67" i="2"/>
  <c r="R11" i="20"/>
  <c r="H8" i="1"/>
  <c r="O115" i="34"/>
  <c r="D31" i="1"/>
  <c r="D44" i="1" s="1"/>
  <c r="I30" i="20"/>
  <c r="M75" i="34" s="1"/>
  <c r="H62" i="32"/>
  <c r="M116" i="34" s="1"/>
  <c r="F24" i="33"/>
  <c r="L32" i="33" s="1"/>
  <c r="F22" i="33"/>
  <c r="F20" i="33"/>
  <c r="F18" i="33"/>
  <c r="F16" i="33"/>
  <c r="F23" i="33"/>
  <c r="F21" i="33"/>
  <c r="F19" i="33"/>
  <c r="F17" i="33"/>
  <c r="F15" i="33"/>
  <c r="F8" i="33"/>
  <c r="G3" i="33"/>
  <c r="G13" i="22"/>
  <c r="G11" i="22"/>
  <c r="AA11" i="29"/>
  <c r="Z11" i="29"/>
  <c r="AB11" i="29" s="1"/>
  <c r="N16" i="28" s="1"/>
  <c r="O197" i="34" s="1"/>
  <c r="AG14" i="29"/>
  <c r="F42" i="1"/>
  <c r="H42" i="1" s="1"/>
  <c r="J42" i="1" s="1"/>
  <c r="K61" i="34"/>
  <c r="U29" i="30"/>
  <c r="H39" i="22"/>
  <c r="H40" i="22" s="1"/>
  <c r="J31" i="32" s="1"/>
  <c r="H37" i="22"/>
  <c r="D7" i="33"/>
  <c r="C7" i="33"/>
  <c r="AM17" i="29"/>
  <c r="AL17" i="29"/>
  <c r="AN17" i="29" s="1"/>
  <c r="AM19" i="29"/>
  <c r="AL19" i="29"/>
  <c r="AN19" i="29" s="1"/>
  <c r="G46" i="1"/>
  <c r="I18" i="20"/>
  <c r="M64" i="34" s="1"/>
  <c r="G86" i="1"/>
  <c r="G106" i="1"/>
  <c r="G82" i="1"/>
  <c r="G124" i="1"/>
  <c r="G126" i="1"/>
  <c r="G52" i="1"/>
  <c r="G76" i="1"/>
  <c r="G65" i="1"/>
  <c r="G93" i="1"/>
  <c r="G130" i="1"/>
  <c r="G114" i="1"/>
  <c r="G94" i="1"/>
  <c r="G123" i="1"/>
  <c r="G95" i="1"/>
  <c r="G128" i="1"/>
  <c r="G101" i="1"/>
  <c r="G71" i="1"/>
  <c r="G90" i="1"/>
  <c r="G119" i="1"/>
  <c r="G129" i="1"/>
  <c r="G125" i="1"/>
  <c r="G111" i="1"/>
  <c r="AG13" i="29"/>
  <c r="AF13" i="29"/>
  <c r="AH13" i="29" s="1"/>
  <c r="Q19" i="28" s="1"/>
  <c r="R200" i="34" s="1"/>
  <c r="Q101" i="34"/>
  <c r="J16" i="22"/>
  <c r="B33" i="30"/>
  <c r="G39" i="22"/>
  <c r="G40" i="22" s="1"/>
  <c r="I31" i="32" s="1"/>
  <c r="G37" i="22"/>
  <c r="Q122" i="34"/>
  <c r="H92" i="32"/>
  <c r="H89" i="32" s="1"/>
  <c r="M129" i="34" s="1"/>
  <c r="G59" i="29"/>
  <c r="U35" i="30" s="1"/>
  <c r="G57" i="29"/>
  <c r="AA10" i="29"/>
  <c r="Z10" i="29"/>
  <c r="AB10" i="29" s="1"/>
  <c r="N15" i="28" s="1"/>
  <c r="O196" i="34" s="1"/>
  <c r="G28" i="33"/>
  <c r="H39" i="1"/>
  <c r="I64" i="32"/>
  <c r="I84" i="32"/>
  <c r="H34" i="1"/>
  <c r="AG15" i="29"/>
  <c r="AF15" i="29"/>
  <c r="AH15" i="29" s="1"/>
  <c r="Q21" i="28" s="1"/>
  <c r="R202" i="34" s="1"/>
  <c r="Q2" i="22"/>
  <c r="G2" i="33"/>
  <c r="G25" i="33" s="1"/>
  <c r="K101" i="30"/>
  <c r="K28" i="30"/>
  <c r="K52" i="30" s="1"/>
  <c r="L16" i="30"/>
  <c r="K87" i="34"/>
  <c r="K109" i="34" s="1"/>
  <c r="K134" i="34" s="1"/>
  <c r="L32" i="32"/>
  <c r="L28" i="32"/>
  <c r="L24" i="32"/>
  <c r="G54" i="32"/>
  <c r="L16" i="32"/>
  <c r="O111" i="34"/>
  <c r="J57" i="32"/>
  <c r="Q111" i="34" s="1"/>
  <c r="Z9" i="29"/>
  <c r="AB9" i="29" s="1"/>
  <c r="N14" i="28" s="1"/>
  <c r="O195" i="34" s="1"/>
  <c r="AA9" i="29"/>
  <c r="AA8" i="29"/>
  <c r="Z8" i="29"/>
  <c r="G67" i="2"/>
  <c r="K57" i="34"/>
  <c r="AM16" i="29"/>
  <c r="AL16" i="29"/>
  <c r="AN16" i="29" s="1"/>
  <c r="I30" i="33"/>
  <c r="AM38" i="29"/>
  <c r="AG50" i="29" s="1"/>
  <c r="AA50" i="29"/>
  <c r="AL50" i="29"/>
  <c r="H52" i="1"/>
  <c r="AG18" i="29"/>
  <c r="AF18" i="29"/>
  <c r="AH18" i="29" s="1"/>
  <c r="Q25" i="28" s="1"/>
  <c r="R206" i="34" s="1"/>
  <c r="AG12" i="29"/>
  <c r="AF12" i="29"/>
  <c r="AH12" i="29" s="1"/>
  <c r="Q18" i="28" s="1"/>
  <c r="R199" i="34" s="1"/>
  <c r="H64" i="2"/>
  <c r="K89" i="34"/>
  <c r="H17" i="32"/>
  <c r="H14" i="32" s="1"/>
  <c r="J31" i="33"/>
  <c r="AE50" i="29"/>
  <c r="AE51" i="29" s="1"/>
  <c r="AC51" i="29"/>
  <c r="J46" i="1"/>
  <c r="H11" i="1"/>
  <c r="S40" i="36" s="1"/>
  <c r="Q87" i="34"/>
  <c r="Q109" i="34" s="1"/>
  <c r="Q134" i="34" s="1"/>
  <c r="O24" i="32"/>
  <c r="Z48" i="29"/>
  <c r="AA32" i="29"/>
  <c r="H13" i="22"/>
  <c r="H11" i="22"/>
  <c r="M12" i="1"/>
  <c r="F8" i="2"/>
  <c r="H11" i="36" s="1"/>
  <c r="M71" i="1"/>
  <c r="M46" i="1"/>
  <c r="K91" i="34"/>
  <c r="H19" i="32"/>
  <c r="U41" i="29" l="1"/>
  <c r="Z47" i="29"/>
  <c r="AA29" i="29"/>
  <c r="J34" i="32"/>
  <c r="Q95" i="34" s="1"/>
  <c r="AR32" i="30"/>
  <c r="AD31" i="30"/>
  <c r="AU31" i="30" s="1"/>
  <c r="AF31" i="30"/>
  <c r="AW31" i="30" s="1"/>
  <c r="AS32" i="30"/>
  <c r="AT32" i="30" s="1"/>
  <c r="G49" i="34"/>
  <c r="F27" i="22"/>
  <c r="H27" i="32" s="1"/>
  <c r="K57" i="29"/>
  <c r="M19" i="22"/>
  <c r="Y19" i="22" s="1"/>
  <c r="Y18" i="22"/>
  <c r="G30" i="32"/>
  <c r="H33" i="32" s="1"/>
  <c r="H50" i="22"/>
  <c r="J20" i="36" s="1"/>
  <c r="Q141" i="34" s="1"/>
  <c r="H49" i="22"/>
  <c r="H58" i="26" s="1"/>
  <c r="J49" i="34" s="1"/>
  <c r="S21" i="30"/>
  <c r="P21" i="30" s="1"/>
  <c r="S65" i="29"/>
  <c r="S11" i="20"/>
  <c r="J11" i="36"/>
  <c r="N11" i="2"/>
  <c r="J35" i="34"/>
  <c r="Q54" i="34" s="1"/>
  <c r="P192" i="34"/>
  <c r="H46" i="36"/>
  <c r="R11" i="36"/>
  <c r="D2" i="35" s="1"/>
  <c r="D49" i="35" s="1"/>
  <c r="R42" i="36"/>
  <c r="Q177" i="34"/>
  <c r="J47" i="32"/>
  <c r="Q104" i="34" s="1"/>
  <c r="J45" i="1"/>
  <c r="Q42" i="28"/>
  <c r="R223" i="34" s="1"/>
  <c r="J32" i="36"/>
  <c r="Q150" i="34" s="1"/>
  <c r="J19" i="30"/>
  <c r="P3" i="22" s="1"/>
  <c r="P4" i="22" s="1"/>
  <c r="AE32" i="30"/>
  <c r="K219" i="34"/>
  <c r="H36" i="36"/>
  <c r="M154" i="34" s="1"/>
  <c r="M48" i="28"/>
  <c r="N230" i="34" s="1"/>
  <c r="I36" i="36"/>
  <c r="O154" i="34" s="1"/>
  <c r="E59" i="26"/>
  <c r="G50" i="34" s="1"/>
  <c r="G20" i="36"/>
  <c r="K141" i="34" s="1"/>
  <c r="G37" i="36"/>
  <c r="K155" i="34" s="1"/>
  <c r="K19" i="30"/>
  <c r="Q3" i="22" s="1"/>
  <c r="Q4" i="22" s="1"/>
  <c r="R19" i="30"/>
  <c r="X3" i="22" s="1"/>
  <c r="X4" i="22" s="1"/>
  <c r="P19" i="30"/>
  <c r="V3" i="22" s="1"/>
  <c r="V4" i="22" s="1"/>
  <c r="L19" i="30"/>
  <c r="R3" i="22" s="1"/>
  <c r="R4" i="22" s="1"/>
  <c r="H19" i="30"/>
  <c r="N3" i="22" s="1"/>
  <c r="N4" i="22" s="1"/>
  <c r="N19" i="30"/>
  <c r="T3" i="22" s="1"/>
  <c r="T4" i="22" s="1"/>
  <c r="M19" i="30"/>
  <c r="S3" i="22" s="1"/>
  <c r="S4" i="22" s="1"/>
  <c r="G19" i="30"/>
  <c r="M3" i="22" s="1"/>
  <c r="I19" i="30"/>
  <c r="O3" i="22" s="1"/>
  <c r="O4" i="22" s="1"/>
  <c r="O19" i="30"/>
  <c r="U3" i="22" s="1"/>
  <c r="U4" i="22" s="1"/>
  <c r="Q19" i="30"/>
  <c r="W3" i="22" s="1"/>
  <c r="W4" i="22" s="1"/>
  <c r="H68" i="32"/>
  <c r="AD26" i="29"/>
  <c r="J49" i="36"/>
  <c r="H42" i="32"/>
  <c r="M100" i="34" s="1"/>
  <c r="M174" i="34"/>
  <c r="I49" i="36"/>
  <c r="Q14" i="36"/>
  <c r="K78" i="34" s="1"/>
  <c r="C3" i="35"/>
  <c r="K180" i="34"/>
  <c r="G80" i="32"/>
  <c r="G79" i="32" s="1"/>
  <c r="K126" i="34" s="1"/>
  <c r="H94" i="32"/>
  <c r="H87" i="32" s="1"/>
  <c r="M182" i="34"/>
  <c r="H95" i="32"/>
  <c r="M183" i="34"/>
  <c r="I58" i="36"/>
  <c r="I57" i="36" s="1"/>
  <c r="Q213" i="34"/>
  <c r="J30" i="36"/>
  <c r="Q148" i="34" s="1"/>
  <c r="S55" i="30"/>
  <c r="T55" i="30" s="1"/>
  <c r="K178" i="34"/>
  <c r="G44" i="32"/>
  <c r="K102" i="34" s="1"/>
  <c r="G59" i="36"/>
  <c r="H55" i="36"/>
  <c r="R13" i="36"/>
  <c r="H53" i="36"/>
  <c r="U41" i="30"/>
  <c r="H41" i="30" s="1"/>
  <c r="O71" i="1"/>
  <c r="O12" i="1"/>
  <c r="O46" i="1"/>
  <c r="J91" i="32"/>
  <c r="J92" i="32" s="1"/>
  <c r="J89" i="32" s="1"/>
  <c r="Q129" i="34" s="1"/>
  <c r="P53" i="30"/>
  <c r="P59" i="30" s="1"/>
  <c r="G53" i="30"/>
  <c r="G54" i="30"/>
  <c r="S54" i="30" s="1"/>
  <c r="T54" i="30" s="1"/>
  <c r="H35" i="30"/>
  <c r="N24" i="22" s="1"/>
  <c r="N25" i="22" s="1"/>
  <c r="R35" i="30"/>
  <c r="X24" i="22" s="1"/>
  <c r="X25" i="22" s="1"/>
  <c r="P35" i="30"/>
  <c r="V24" i="22" s="1"/>
  <c r="V25" i="22" s="1"/>
  <c r="Q35" i="30"/>
  <c r="W24" i="22" s="1"/>
  <c r="W25" i="22" s="1"/>
  <c r="J35" i="30"/>
  <c r="P24" i="22" s="1"/>
  <c r="P25" i="22" s="1"/>
  <c r="M35" i="30"/>
  <c r="S24" i="22" s="1"/>
  <c r="S25" i="22" s="1"/>
  <c r="L35" i="30"/>
  <c r="R24" i="22" s="1"/>
  <c r="R25" i="22" s="1"/>
  <c r="G35" i="30"/>
  <c r="O35" i="30"/>
  <c r="U24" i="22" s="1"/>
  <c r="U25" i="22" s="1"/>
  <c r="I35" i="30"/>
  <c r="O24" i="22" s="1"/>
  <c r="O25" i="22" s="1"/>
  <c r="K35" i="30"/>
  <c r="Q24" i="22" s="1"/>
  <c r="Q25" i="22" s="1"/>
  <c r="N35" i="30"/>
  <c r="T24" i="22" s="1"/>
  <c r="T25" i="22" s="1"/>
  <c r="J64" i="32"/>
  <c r="M30" i="20" s="1"/>
  <c r="Q75" i="34" s="1"/>
  <c r="J34" i="1"/>
  <c r="J39" i="1"/>
  <c r="J84" i="32"/>
  <c r="J11" i="1"/>
  <c r="T40" i="36" s="1"/>
  <c r="R53" i="30"/>
  <c r="R59" i="30" s="1"/>
  <c r="AM35" i="29"/>
  <c r="AG49" i="29" s="1"/>
  <c r="O223" i="34"/>
  <c r="AL49" i="29"/>
  <c r="Q53" i="30"/>
  <c r="Q59" i="30" s="1"/>
  <c r="I53" i="30"/>
  <c r="I59" i="30" s="1"/>
  <c r="T24" i="29"/>
  <c r="K100" i="34"/>
  <c r="G22" i="32"/>
  <c r="H19" i="20"/>
  <c r="L65" i="34" s="1"/>
  <c r="P48" i="28"/>
  <c r="Q230" i="34" s="1"/>
  <c r="H37" i="1"/>
  <c r="H32" i="1" s="1"/>
  <c r="H31" i="1" s="1"/>
  <c r="H44" i="1" s="1"/>
  <c r="G27" i="32"/>
  <c r="G29" i="32" s="1"/>
  <c r="J35" i="1"/>
  <c r="J41" i="1" s="1"/>
  <c r="T41" i="36" s="1"/>
  <c r="O63" i="29"/>
  <c r="L53" i="30"/>
  <c r="L59" i="30" s="1"/>
  <c r="M53" i="30"/>
  <c r="M59" i="30" s="1"/>
  <c r="H53" i="30"/>
  <c r="H59" i="30" s="1"/>
  <c r="O53" i="30"/>
  <c r="O59" i="30" s="1"/>
  <c r="K53" i="30"/>
  <c r="K59" i="30" s="1"/>
  <c r="N53" i="30"/>
  <c r="N59" i="30" s="1"/>
  <c r="J53" i="30"/>
  <c r="J59" i="30" s="1"/>
  <c r="J48" i="28"/>
  <c r="K230" i="34" s="1"/>
  <c r="AK24" i="29"/>
  <c r="J76" i="32" s="1"/>
  <c r="AE24" i="29"/>
  <c r="O28" i="32"/>
  <c r="O32" i="32"/>
  <c r="O16" i="32"/>
  <c r="G65" i="2"/>
  <c r="K15" i="20" s="1"/>
  <c r="N219" i="34"/>
  <c r="Q219" i="34"/>
  <c r="H32" i="28"/>
  <c r="H48" i="28" s="1"/>
  <c r="U44" i="30" s="1"/>
  <c r="I194" i="34"/>
  <c r="D131" i="1"/>
  <c r="G17" i="20"/>
  <c r="K63" i="34" s="1"/>
  <c r="H66" i="2"/>
  <c r="K121" i="34"/>
  <c r="G67" i="32"/>
  <c r="Q108" i="36" s="1"/>
  <c r="Q109" i="36" s="1"/>
  <c r="W4" i="29"/>
  <c r="P234" i="34"/>
  <c r="Q171" i="34"/>
  <c r="J234" i="34"/>
  <c r="K171" i="34"/>
  <c r="I14" i="20"/>
  <c r="H47" i="36" s="1"/>
  <c r="K128" i="34"/>
  <c r="G50" i="22"/>
  <c r="I20" i="36" s="1"/>
  <c r="O141" i="34" s="1"/>
  <c r="M57" i="34"/>
  <c r="M11" i="20"/>
  <c r="I59" i="29"/>
  <c r="AA24" i="29"/>
  <c r="AB8" i="29"/>
  <c r="AB24" i="29" s="1"/>
  <c r="Z24" i="29"/>
  <c r="K13" i="28"/>
  <c r="V24" i="29"/>
  <c r="Q65" i="29"/>
  <c r="H45" i="1"/>
  <c r="I127" i="1" s="1"/>
  <c r="G14" i="22"/>
  <c r="I23" i="32" s="1"/>
  <c r="Q115" i="34"/>
  <c r="F31" i="1"/>
  <c r="F44" i="1" s="1"/>
  <c r="I17" i="20" s="1"/>
  <c r="F59" i="26"/>
  <c r="H50" i="34" s="1"/>
  <c r="G8" i="2"/>
  <c r="I11" i="36" s="1"/>
  <c r="N12" i="1"/>
  <c r="N46" i="1"/>
  <c r="N71" i="1"/>
  <c r="H14" i="22"/>
  <c r="J23" i="32" s="1"/>
  <c r="J30" i="33"/>
  <c r="K31" i="33"/>
  <c r="Q61" i="34"/>
  <c r="U48" i="29"/>
  <c r="AF48" i="29"/>
  <c r="AG32" i="29"/>
  <c r="K60" i="34"/>
  <c r="H24" i="20"/>
  <c r="L70" i="34" s="1"/>
  <c r="H16" i="20"/>
  <c r="H30" i="20"/>
  <c r="L75" i="34"/>
  <c r="H23" i="20"/>
  <c r="L69" i="34" s="1"/>
  <c r="H15" i="20"/>
  <c r="L61" i="34" s="1"/>
  <c r="H18" i="20"/>
  <c r="L64" i="34" s="1"/>
  <c r="K11" i="20"/>
  <c r="I47" i="36" s="1"/>
  <c r="K119" i="34"/>
  <c r="AG9" i="29"/>
  <c r="AF9" i="29"/>
  <c r="AH9" i="29" s="1"/>
  <c r="Q14" i="28" s="1"/>
  <c r="R195" i="34" s="1"/>
  <c r="G9" i="33"/>
  <c r="G23" i="33"/>
  <c r="G21" i="33"/>
  <c r="G19" i="33"/>
  <c r="G17" i="33"/>
  <c r="G15" i="33"/>
  <c r="G24" i="33"/>
  <c r="M32" i="33" s="1"/>
  <c r="G22" i="33"/>
  <c r="G20" i="33"/>
  <c r="G18" i="33"/>
  <c r="G16" i="33"/>
  <c r="H3" i="33"/>
  <c r="I92" i="32"/>
  <c r="I89" i="32" s="1"/>
  <c r="O129" i="34" s="1"/>
  <c r="C8" i="33"/>
  <c r="D8" i="33"/>
  <c r="E8" i="33"/>
  <c r="H28" i="33"/>
  <c r="AI4" i="29"/>
  <c r="AC4" i="29"/>
  <c r="AM18" i="29"/>
  <c r="AL18" i="29"/>
  <c r="AN18" i="29" s="1"/>
  <c r="AF8" i="29"/>
  <c r="AG8" i="29"/>
  <c r="AL15" i="29"/>
  <c r="AN15" i="29" s="1"/>
  <c r="AM15" i="29"/>
  <c r="I29" i="33"/>
  <c r="L11" i="2"/>
  <c r="H11" i="32"/>
  <c r="C26" i="35"/>
  <c r="R2" i="22"/>
  <c r="H2" i="33"/>
  <c r="H25" i="33" s="1"/>
  <c r="L101" i="30"/>
  <c r="L28" i="30"/>
  <c r="L52" i="30" s="1"/>
  <c r="M16" i="30"/>
  <c r="AM13" i="29"/>
  <c r="AL13" i="29"/>
  <c r="AN13" i="29" s="1"/>
  <c r="AF11" i="29"/>
  <c r="AH11" i="29" s="1"/>
  <c r="Q16" i="28" s="1"/>
  <c r="R197" i="34" s="1"/>
  <c r="AG11" i="29"/>
  <c r="M91" i="34"/>
  <c r="I19" i="32"/>
  <c r="AL12" i="29"/>
  <c r="AN12" i="29" s="1"/>
  <c r="AM12" i="29"/>
  <c r="K30" i="20"/>
  <c r="O75" i="34" s="1"/>
  <c r="I62" i="32"/>
  <c r="O116" i="34" s="1"/>
  <c r="AG10" i="29"/>
  <c r="AF10" i="29"/>
  <c r="AH10" i="29" s="1"/>
  <c r="Q15" i="28" s="1"/>
  <c r="R196" i="34" s="1"/>
  <c r="AG29" i="29"/>
  <c r="U47" i="29"/>
  <c r="AF47" i="29"/>
  <c r="AA41" i="29"/>
  <c r="H72" i="32"/>
  <c r="H70" i="32" s="1"/>
  <c r="G49" i="22"/>
  <c r="G58" i="26" s="1"/>
  <c r="I49" i="34" s="1"/>
  <c r="J18" i="22"/>
  <c r="B34" i="30"/>
  <c r="AM14" i="29"/>
  <c r="AL14" i="29"/>
  <c r="AN14" i="29" s="1"/>
  <c r="E31" i="1"/>
  <c r="E11" i="1"/>
  <c r="M89" i="34"/>
  <c r="I17" i="32"/>
  <c r="Z51" i="29"/>
  <c r="P29" i="30" l="1"/>
  <c r="V10" i="22" s="1"/>
  <c r="V11" i="22" s="1"/>
  <c r="AW32" i="30"/>
  <c r="AV32" i="30"/>
  <c r="E48" i="26"/>
  <c r="K59" i="29"/>
  <c r="K65" i="1"/>
  <c r="K127" i="1"/>
  <c r="M21" i="30"/>
  <c r="M29" i="30" s="1"/>
  <c r="S10" i="22" s="1"/>
  <c r="S11" i="22" s="1"/>
  <c r="I21" i="30"/>
  <c r="I29" i="30" s="1"/>
  <c r="O10" i="22" s="1"/>
  <c r="O11" i="22" s="1"/>
  <c r="R21" i="30"/>
  <c r="N12" i="33" s="1"/>
  <c r="G21" i="30"/>
  <c r="M5" i="22" s="1"/>
  <c r="M4" i="22"/>
  <c r="Y4" i="22" s="1"/>
  <c r="Y3" i="22"/>
  <c r="K94" i="34"/>
  <c r="K21" i="30"/>
  <c r="K29" i="30" s="1"/>
  <c r="Q10" i="22" s="1"/>
  <c r="Q11" i="22" s="1"/>
  <c r="L21" i="30"/>
  <c r="L29" i="30" s="1"/>
  <c r="R10" i="22" s="1"/>
  <c r="R11" i="22" s="1"/>
  <c r="N21" i="30"/>
  <c r="T5" i="22" s="1"/>
  <c r="T6" i="22" s="1"/>
  <c r="T9" i="22" s="1"/>
  <c r="O21" i="30"/>
  <c r="O29" i="30" s="1"/>
  <c r="U10" i="22" s="1"/>
  <c r="U11" i="22" s="1"/>
  <c r="Q21" i="30"/>
  <c r="Q29" i="30" s="1"/>
  <c r="W10" i="22" s="1"/>
  <c r="W11" i="22" s="1"/>
  <c r="H21" i="30"/>
  <c r="H29" i="30" s="1"/>
  <c r="N10" i="22" s="1"/>
  <c r="N11" i="22" s="1"/>
  <c r="J21" i="30"/>
  <c r="J29" i="30" s="1"/>
  <c r="P10" i="22" s="1"/>
  <c r="P11" i="22" s="1"/>
  <c r="H59" i="26"/>
  <c r="J50" i="34" s="1"/>
  <c r="H30" i="32"/>
  <c r="M94" i="34" s="1"/>
  <c r="M25" i="30"/>
  <c r="S25" i="30" s="1"/>
  <c r="K124" i="1"/>
  <c r="K95" i="1"/>
  <c r="K125" i="1"/>
  <c r="K94" i="1"/>
  <c r="K82" i="1"/>
  <c r="K46" i="1"/>
  <c r="K129" i="1"/>
  <c r="K111" i="1"/>
  <c r="K52" i="1"/>
  <c r="K71" i="1"/>
  <c r="K119" i="1"/>
  <c r="K130" i="1"/>
  <c r="K90" i="1"/>
  <c r="K114" i="1"/>
  <c r="K128" i="1"/>
  <c r="K123" i="1"/>
  <c r="K86" i="1"/>
  <c r="K126" i="1"/>
  <c r="K101" i="1"/>
  <c r="K93" i="1"/>
  <c r="K76" i="1"/>
  <c r="M18" i="20"/>
  <c r="Q64" i="34" s="1"/>
  <c r="K106" i="1"/>
  <c r="J46" i="36"/>
  <c r="T11" i="36"/>
  <c r="F2" i="35" s="1"/>
  <c r="T42" i="36"/>
  <c r="I46" i="36"/>
  <c r="S42" i="36"/>
  <c r="S11" i="36"/>
  <c r="E2" i="35" s="1"/>
  <c r="E49" i="35" s="1"/>
  <c r="I41" i="30"/>
  <c r="Q41" i="30"/>
  <c r="L41" i="30"/>
  <c r="M41" i="30"/>
  <c r="N41" i="30"/>
  <c r="K41" i="30"/>
  <c r="O41" i="30"/>
  <c r="AU32" i="30"/>
  <c r="H38" i="30" s="1"/>
  <c r="J41" i="30"/>
  <c r="R41" i="30"/>
  <c r="P41" i="30"/>
  <c r="G41" i="30"/>
  <c r="I68" i="32"/>
  <c r="J62" i="32"/>
  <c r="Q116" i="34" s="1"/>
  <c r="J58" i="36"/>
  <c r="J57" i="36" s="1"/>
  <c r="R14" i="36"/>
  <c r="M78" i="34" s="1"/>
  <c r="D3" i="35"/>
  <c r="H80" i="32"/>
  <c r="H79" i="32" s="1"/>
  <c r="M126" i="34" s="1"/>
  <c r="M180" i="34"/>
  <c r="H39" i="32"/>
  <c r="M172" i="34"/>
  <c r="O174" i="34"/>
  <c r="I42" i="32"/>
  <c r="O100" i="34" s="1"/>
  <c r="I39" i="32"/>
  <c r="O172" i="34"/>
  <c r="J42" i="32"/>
  <c r="Q100" i="34" s="1"/>
  <c r="Q174" i="34"/>
  <c r="H59" i="36"/>
  <c r="M184" i="34" s="1"/>
  <c r="O183" i="34"/>
  <c r="I95" i="32"/>
  <c r="I94" i="32"/>
  <c r="I87" i="32" s="1"/>
  <c r="O182" i="34"/>
  <c r="M178" i="34"/>
  <c r="H44" i="32"/>
  <c r="M102" i="34" s="1"/>
  <c r="G28" i="36"/>
  <c r="K146" i="34" s="1"/>
  <c r="K184" i="34"/>
  <c r="Q114" i="36"/>
  <c r="Q57" i="34"/>
  <c r="J55" i="36"/>
  <c r="J53" i="36"/>
  <c r="T13" i="36"/>
  <c r="I55" i="36"/>
  <c r="S13" i="36"/>
  <c r="I53" i="36"/>
  <c r="S53" i="30"/>
  <c r="T53" i="30" s="1"/>
  <c r="J37" i="1"/>
  <c r="J32" i="1" s="1"/>
  <c r="J31" i="1" s="1"/>
  <c r="J44" i="1" s="1"/>
  <c r="K31" i="1" s="1"/>
  <c r="S35" i="30"/>
  <c r="T35" i="30" s="1"/>
  <c r="G59" i="30"/>
  <c r="M130" i="34"/>
  <c r="G36" i="30"/>
  <c r="M24" i="22"/>
  <c r="G41" i="32"/>
  <c r="K97" i="34"/>
  <c r="M14" i="20"/>
  <c r="J18" i="20"/>
  <c r="N64" i="34" s="1"/>
  <c r="G74" i="32"/>
  <c r="J75" i="32"/>
  <c r="Q124" i="34" s="1"/>
  <c r="N75" i="34"/>
  <c r="J15" i="20"/>
  <c r="N61" i="34" s="1"/>
  <c r="W43" i="29"/>
  <c r="Q63" i="29"/>
  <c r="G66" i="2"/>
  <c r="K32" i="28"/>
  <c r="K48" i="28" s="1"/>
  <c r="L194" i="34"/>
  <c r="I213" i="34"/>
  <c r="J24" i="20"/>
  <c r="N70" i="34" s="1"/>
  <c r="J30" i="20"/>
  <c r="M60" i="34"/>
  <c r="J23" i="20"/>
  <c r="N69" i="34" s="1"/>
  <c r="K17" i="20"/>
  <c r="O63" i="34" s="1"/>
  <c r="M121" i="34"/>
  <c r="H67" i="32"/>
  <c r="R108" i="36" s="1"/>
  <c r="U51" i="29"/>
  <c r="M63" i="34"/>
  <c r="G26" i="32"/>
  <c r="N13" i="28"/>
  <c r="AG24" i="29"/>
  <c r="AH8" i="29"/>
  <c r="AH24" i="29" s="1"/>
  <c r="AF24" i="29"/>
  <c r="AF51" i="29"/>
  <c r="G11" i="1"/>
  <c r="G31" i="1"/>
  <c r="F131" i="1"/>
  <c r="F48" i="26"/>
  <c r="H40" i="34" s="1"/>
  <c r="L31" i="33"/>
  <c r="H17" i="20"/>
  <c r="L63" i="34" s="1"/>
  <c r="H25" i="32"/>
  <c r="H22" i="32" s="1"/>
  <c r="M92" i="34" s="1"/>
  <c r="K92" i="34"/>
  <c r="M11" i="2"/>
  <c r="I11" i="32"/>
  <c r="J29" i="33"/>
  <c r="I71" i="1"/>
  <c r="I123" i="1"/>
  <c r="H131" i="1"/>
  <c r="I65" i="1"/>
  <c r="I114" i="1"/>
  <c r="I129" i="1"/>
  <c r="I101" i="1"/>
  <c r="I86" i="1"/>
  <c r="I90" i="1"/>
  <c r="I119" i="1"/>
  <c r="I46" i="1"/>
  <c r="I128" i="1"/>
  <c r="I76" i="1"/>
  <c r="I94" i="1"/>
  <c r="K18" i="20"/>
  <c r="O64" i="34" s="1"/>
  <c r="I111" i="1"/>
  <c r="I106" i="1"/>
  <c r="I124" i="1"/>
  <c r="I130" i="1"/>
  <c r="I52" i="1"/>
  <c r="I125" i="1"/>
  <c r="I126" i="1"/>
  <c r="I95" i="1"/>
  <c r="I93" i="1"/>
  <c r="I82" i="1"/>
  <c r="H23" i="33"/>
  <c r="H21" i="33"/>
  <c r="H19" i="33"/>
  <c r="H17" i="33"/>
  <c r="H15" i="33"/>
  <c r="H10" i="33"/>
  <c r="I3" i="33"/>
  <c r="H22" i="33"/>
  <c r="H16" i="33"/>
  <c r="H20" i="33"/>
  <c r="H24" i="33"/>
  <c r="N32" i="33" s="1"/>
  <c r="H18" i="33"/>
  <c r="O57" i="34"/>
  <c r="K14" i="20"/>
  <c r="J47" i="36" s="1"/>
  <c r="AL48" i="29"/>
  <c r="AM32" i="29"/>
  <c r="AG48" i="29" s="1"/>
  <c r="AA48" i="29"/>
  <c r="I11" i="1"/>
  <c r="I31" i="1"/>
  <c r="I28" i="33"/>
  <c r="L62" i="34"/>
  <c r="J16" i="20"/>
  <c r="S2" i="22"/>
  <c r="I2" i="33"/>
  <c r="I25" i="33" s="1"/>
  <c r="M101" i="30"/>
  <c r="M28" i="30"/>
  <c r="M52" i="30" s="1"/>
  <c r="N16" i="30"/>
  <c r="M119" i="34"/>
  <c r="S63" i="29"/>
  <c r="AC43" i="29"/>
  <c r="G59" i="26"/>
  <c r="I14" i="32"/>
  <c r="AM8" i="29"/>
  <c r="AL8" i="29"/>
  <c r="AI43" i="29"/>
  <c r="K30" i="33"/>
  <c r="AM9" i="29"/>
  <c r="AL9" i="29"/>
  <c r="AN9" i="29" s="1"/>
  <c r="G20" i="20"/>
  <c r="J22" i="22"/>
  <c r="B35" i="30"/>
  <c r="AA47" i="29"/>
  <c r="AL47" i="29"/>
  <c r="AG41" i="29"/>
  <c r="AM29" i="29"/>
  <c r="I72" i="32"/>
  <c r="I70" i="32" s="1"/>
  <c r="AM10" i="29"/>
  <c r="AL10" i="29"/>
  <c r="AN10" i="29" s="1"/>
  <c r="V5" i="22"/>
  <c r="V6" i="22" s="1"/>
  <c r="V9" i="22" s="1"/>
  <c r="L12" i="33"/>
  <c r="M87" i="34"/>
  <c r="M109" i="34" s="1"/>
  <c r="M134" i="34" s="1"/>
  <c r="M16" i="32"/>
  <c r="H54" i="32"/>
  <c r="M28" i="32"/>
  <c r="M24" i="32"/>
  <c r="M32" i="32"/>
  <c r="F9" i="33"/>
  <c r="E9" i="33"/>
  <c r="D9" i="33"/>
  <c r="K118" i="34"/>
  <c r="I58" i="26"/>
  <c r="K49" i="34" s="1"/>
  <c r="O61" i="34"/>
  <c r="O91" i="34"/>
  <c r="J19" i="32"/>
  <c r="AM11" i="29"/>
  <c r="AL11" i="29"/>
  <c r="AN11" i="29" s="1"/>
  <c r="G29" i="30" l="1"/>
  <c r="M10" i="22" s="1"/>
  <c r="D12" i="33"/>
  <c r="R29" i="30"/>
  <c r="X10" i="22" s="1"/>
  <c r="X11" i="22" s="1"/>
  <c r="N29" i="30"/>
  <c r="T10" i="22" s="1"/>
  <c r="T11" i="22" s="1"/>
  <c r="N5" i="22"/>
  <c r="N6" i="22" s="1"/>
  <c r="N9" i="22" s="1"/>
  <c r="O5" i="22"/>
  <c r="O6" i="22" s="1"/>
  <c r="O9" i="22" s="1"/>
  <c r="R5" i="22"/>
  <c r="R6" i="22" s="1"/>
  <c r="R9" i="22" s="1"/>
  <c r="Q183" i="34"/>
  <c r="J12" i="33"/>
  <c r="X5" i="22"/>
  <c r="X6" i="22" s="1"/>
  <c r="X9" i="22" s="1"/>
  <c r="H12" i="33"/>
  <c r="H13" i="33" s="1"/>
  <c r="H26" i="33" s="1"/>
  <c r="J95" i="32"/>
  <c r="C12" i="33"/>
  <c r="C13" i="33" s="1"/>
  <c r="C26" i="33" s="1"/>
  <c r="C33" i="33" s="1"/>
  <c r="G23" i="30" s="1"/>
  <c r="G26" i="30" s="1"/>
  <c r="E12" i="33"/>
  <c r="E13" i="33" s="1"/>
  <c r="E26" i="33" s="1"/>
  <c r="M12" i="33"/>
  <c r="Q5" i="22"/>
  <c r="Q6" i="22" s="1"/>
  <c r="Q9" i="22" s="1"/>
  <c r="I12" i="33"/>
  <c r="I13" i="33" s="1"/>
  <c r="I26" i="33" s="1"/>
  <c r="G12" i="33"/>
  <c r="G13" i="33" s="1"/>
  <c r="G26" i="33" s="1"/>
  <c r="S5" i="22"/>
  <c r="S6" i="22" s="1"/>
  <c r="S9" i="22" s="1"/>
  <c r="K12" i="33"/>
  <c r="U5" i="22"/>
  <c r="U6" i="22" s="1"/>
  <c r="U9" i="22" s="1"/>
  <c r="M25" i="22"/>
  <c r="Y25" i="22" s="1"/>
  <c r="Y24" i="22"/>
  <c r="M6" i="22"/>
  <c r="M11" i="22"/>
  <c r="I33" i="32"/>
  <c r="P5" i="22"/>
  <c r="P6" i="22" s="1"/>
  <c r="P9" i="22" s="1"/>
  <c r="F12" i="33"/>
  <c r="F13" i="33" s="1"/>
  <c r="F26" i="33" s="1"/>
  <c r="W5" i="22"/>
  <c r="W6" i="22" s="1"/>
  <c r="W9" i="22" s="1"/>
  <c r="H48" i="26"/>
  <c r="J40" i="34" s="1"/>
  <c r="F49" i="35"/>
  <c r="F26" i="35"/>
  <c r="I38" i="30"/>
  <c r="J38" i="30" s="1"/>
  <c r="K38" i="30" s="1"/>
  <c r="L38" i="30" s="1"/>
  <c r="M38" i="30" s="1"/>
  <c r="N38" i="30" s="1"/>
  <c r="O38" i="30" s="1"/>
  <c r="P38" i="30" s="1"/>
  <c r="Q38" i="30" s="1"/>
  <c r="R38" i="30" s="1"/>
  <c r="G37" i="30"/>
  <c r="H37" i="30" s="1"/>
  <c r="I37" i="30" s="1"/>
  <c r="J37" i="30" s="1"/>
  <c r="K37" i="30" s="1"/>
  <c r="L37" i="30" s="1"/>
  <c r="M37" i="30" s="1"/>
  <c r="N37" i="30" s="1"/>
  <c r="O37" i="30" s="1"/>
  <c r="P37" i="30" s="1"/>
  <c r="Q37" i="30" s="1"/>
  <c r="R37" i="30" s="1"/>
  <c r="S41" i="30"/>
  <c r="T41" i="30" s="1"/>
  <c r="H60" i="36"/>
  <c r="H28" i="36" s="1"/>
  <c r="M146" i="34" s="1"/>
  <c r="S14" i="36"/>
  <c r="O78" i="34" s="1"/>
  <c r="E3" i="35"/>
  <c r="O180" i="34"/>
  <c r="I80" i="32"/>
  <c r="I79" i="32" s="1"/>
  <c r="T14" i="36"/>
  <c r="Q78" i="34" s="1"/>
  <c r="F3" i="35"/>
  <c r="Q172" i="34"/>
  <c r="J39" i="32"/>
  <c r="J80" i="32"/>
  <c r="J79" i="32" s="1"/>
  <c r="Q126" i="34" s="1"/>
  <c r="Q180" i="34"/>
  <c r="J94" i="32"/>
  <c r="J87" i="32" s="1"/>
  <c r="Q182" i="34"/>
  <c r="I59" i="36"/>
  <c r="O178" i="34"/>
  <c r="I44" i="32"/>
  <c r="I41" i="32" s="1"/>
  <c r="O99" i="34" s="1"/>
  <c r="G41" i="36"/>
  <c r="K159" i="34" s="1"/>
  <c r="J44" i="32"/>
  <c r="Q102" i="34" s="1"/>
  <c r="Q178" i="34"/>
  <c r="J59" i="36"/>
  <c r="Q184" i="34" s="1"/>
  <c r="R114" i="36"/>
  <c r="S107" i="36"/>
  <c r="R107" i="36"/>
  <c r="K123" i="34"/>
  <c r="Q44" i="36"/>
  <c r="C51" i="35" s="1"/>
  <c r="K99" i="34"/>
  <c r="H20" i="20"/>
  <c r="Q18" i="36"/>
  <c r="H36" i="30"/>
  <c r="S59" i="30"/>
  <c r="H83" i="32"/>
  <c r="N18" i="20"/>
  <c r="R64" i="34" s="1"/>
  <c r="G18" i="32"/>
  <c r="G13" i="32" s="1"/>
  <c r="H29" i="32"/>
  <c r="H26" i="32" s="1"/>
  <c r="N23" i="20"/>
  <c r="R69" i="34" s="1"/>
  <c r="R75" i="34"/>
  <c r="Q13" i="28"/>
  <c r="R194" i="34" s="1"/>
  <c r="G25" i="20"/>
  <c r="I230" i="34"/>
  <c r="L213" i="34"/>
  <c r="N32" i="28"/>
  <c r="N48" i="28" s="1"/>
  <c r="O194" i="34"/>
  <c r="O130" i="34"/>
  <c r="I83" i="32"/>
  <c r="O121" i="34"/>
  <c r="I67" i="32"/>
  <c r="S108" i="36" s="1"/>
  <c r="J131" i="1"/>
  <c r="M17" i="20"/>
  <c r="Q63" i="34" s="1"/>
  <c r="L234" i="34"/>
  <c r="M171" i="34"/>
  <c r="G48" i="26"/>
  <c r="I50" i="34"/>
  <c r="N15" i="20"/>
  <c r="R61" i="34" s="1"/>
  <c r="N24" i="20"/>
  <c r="R70" i="34" s="1"/>
  <c r="Q60" i="34"/>
  <c r="N30" i="20"/>
  <c r="K11" i="1"/>
  <c r="J17" i="20"/>
  <c r="N63" i="34" s="1"/>
  <c r="K93" i="34"/>
  <c r="G21" i="20"/>
  <c r="AM24" i="29"/>
  <c r="J68" i="32" s="1"/>
  <c r="AN8" i="29"/>
  <c r="AN24" i="29" s="1"/>
  <c r="AL24" i="29"/>
  <c r="L30" i="33"/>
  <c r="N24" i="32"/>
  <c r="N28" i="32"/>
  <c r="I54" i="32"/>
  <c r="N32" i="32"/>
  <c r="O87" i="34"/>
  <c r="O109" i="34" s="1"/>
  <c r="O134" i="34" s="1"/>
  <c r="N16" i="32"/>
  <c r="I25" i="32"/>
  <c r="M31" i="33"/>
  <c r="O60" i="34"/>
  <c r="L15" i="20"/>
  <c r="P61" i="34" s="1"/>
  <c r="L24" i="20"/>
  <c r="P70" i="34" s="1"/>
  <c r="P75" i="34"/>
  <c r="L17" i="20"/>
  <c r="P63" i="34" s="1"/>
  <c r="L23" i="20"/>
  <c r="P69" i="34" s="1"/>
  <c r="L18" i="20"/>
  <c r="P64" i="34" s="1"/>
  <c r="L30" i="20"/>
  <c r="K66" i="34"/>
  <c r="D26" i="35"/>
  <c r="H39" i="30"/>
  <c r="J28" i="33"/>
  <c r="AG47" i="29"/>
  <c r="AG51" i="29" s="1"/>
  <c r="AM41" i="29"/>
  <c r="J72" i="32" s="1"/>
  <c r="J70" i="32" s="1"/>
  <c r="Q121" i="34" s="1"/>
  <c r="J24" i="22"/>
  <c r="B36" i="30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O119" i="34"/>
  <c r="I23" i="33"/>
  <c r="I21" i="33"/>
  <c r="I19" i="33"/>
  <c r="I17" i="33"/>
  <c r="I15" i="33"/>
  <c r="J3" i="33"/>
  <c r="I24" i="33"/>
  <c r="I22" i="33"/>
  <c r="I20" i="33"/>
  <c r="I18" i="33"/>
  <c r="I16" i="33"/>
  <c r="C9" i="33"/>
  <c r="N62" i="34"/>
  <c r="L16" i="20"/>
  <c r="I16" i="20"/>
  <c r="U31" i="30" s="1"/>
  <c r="K31" i="30" s="1"/>
  <c r="G10" i="33"/>
  <c r="G11" i="33" s="1"/>
  <c r="H11" i="33"/>
  <c r="F10" i="33"/>
  <c r="F11" i="33" s="1"/>
  <c r="E10" i="33"/>
  <c r="Q91" i="34"/>
  <c r="I59" i="26"/>
  <c r="K50" i="34" s="1"/>
  <c r="AA51" i="29"/>
  <c r="D13" i="33"/>
  <c r="D26" i="33" s="1"/>
  <c r="O89" i="34"/>
  <c r="J17" i="32"/>
  <c r="J14" i="32" s="1"/>
  <c r="K29" i="33"/>
  <c r="M118" i="34"/>
  <c r="T2" i="22"/>
  <c r="J2" i="33"/>
  <c r="J25" i="33" s="1"/>
  <c r="N101" i="30"/>
  <c r="N28" i="30"/>
  <c r="N52" i="30" s="1"/>
  <c r="O16" i="30"/>
  <c r="Y10" i="22" l="1"/>
  <c r="S29" i="30"/>
  <c r="T29" i="30" s="1"/>
  <c r="H14" i="33"/>
  <c r="I27" i="33" s="1"/>
  <c r="I33" i="33" s="1"/>
  <c r="M23" i="30" s="1"/>
  <c r="M26" i="30" s="1"/>
  <c r="I30" i="32"/>
  <c r="O94" i="34" s="1"/>
  <c r="Y11" i="22"/>
  <c r="Y5" i="22"/>
  <c r="M9" i="22"/>
  <c r="Y9" i="22" s="1"/>
  <c r="Y6" i="22"/>
  <c r="M30" i="33"/>
  <c r="M185" i="34"/>
  <c r="J60" i="36"/>
  <c r="J28" i="36" s="1"/>
  <c r="Q146" i="34" s="1"/>
  <c r="I60" i="36"/>
  <c r="O184" i="34"/>
  <c r="R109" i="36"/>
  <c r="S114" i="36"/>
  <c r="T107" i="36"/>
  <c r="I37" i="36"/>
  <c r="O155" i="34" s="1"/>
  <c r="M128" i="34"/>
  <c r="H37" i="36"/>
  <c r="M155" i="34" s="1"/>
  <c r="J41" i="32"/>
  <c r="Q99" i="34" s="1"/>
  <c r="L66" i="34"/>
  <c r="Q19" i="36"/>
  <c r="C27" i="35" s="1"/>
  <c r="I39" i="30"/>
  <c r="J39" i="30" s="1"/>
  <c r="K39" i="30" s="1"/>
  <c r="L39" i="30" s="1"/>
  <c r="M39" i="30" s="1"/>
  <c r="N39" i="30" s="1"/>
  <c r="O39" i="30" s="1"/>
  <c r="P39" i="30" s="1"/>
  <c r="Q39" i="30" s="1"/>
  <c r="R39" i="30" s="1"/>
  <c r="H74" i="32"/>
  <c r="Q31" i="30"/>
  <c r="W14" i="22" s="1"/>
  <c r="W15" i="22" s="1"/>
  <c r="P31" i="30"/>
  <c r="V14" i="22" s="1"/>
  <c r="V15" i="22" s="1"/>
  <c r="N31" i="30"/>
  <c r="T14" i="22" s="1"/>
  <c r="T15" i="22" s="1"/>
  <c r="Q14" i="22"/>
  <c r="Q15" i="22" s="1"/>
  <c r="H31" i="30"/>
  <c r="N14" i="22" s="1"/>
  <c r="N15" i="22" s="1"/>
  <c r="M31" i="30"/>
  <c r="S14" i="22" s="1"/>
  <c r="S15" i="22" s="1"/>
  <c r="L31" i="30"/>
  <c r="R14" i="22" s="1"/>
  <c r="R15" i="22" s="1"/>
  <c r="R31" i="30"/>
  <c r="X14" i="22" s="1"/>
  <c r="X15" i="22" s="1"/>
  <c r="O31" i="30"/>
  <c r="U14" i="22" s="1"/>
  <c r="U15" i="22" s="1"/>
  <c r="I31" i="30"/>
  <c r="O14" i="22" s="1"/>
  <c r="O15" i="22" s="1"/>
  <c r="J31" i="30"/>
  <c r="P14" i="22" s="1"/>
  <c r="P15" i="22" s="1"/>
  <c r="G31" i="30"/>
  <c r="J83" i="32"/>
  <c r="J37" i="36" s="1"/>
  <c r="Q155" i="34" s="1"/>
  <c r="J44" i="30"/>
  <c r="O44" i="30"/>
  <c r="G44" i="30"/>
  <c r="P44" i="30"/>
  <c r="R44" i="30"/>
  <c r="H44" i="30"/>
  <c r="K44" i="30"/>
  <c r="Q44" i="30"/>
  <c r="I44" i="30"/>
  <c r="L44" i="30"/>
  <c r="M44" i="30"/>
  <c r="N44" i="30"/>
  <c r="K90" i="34"/>
  <c r="O97" i="34"/>
  <c r="M93" i="34"/>
  <c r="I21" i="20"/>
  <c r="M67" i="34" s="1"/>
  <c r="I19" i="20"/>
  <c r="I20" i="20" s="1"/>
  <c r="M97" i="34"/>
  <c r="Q97" i="34"/>
  <c r="H25" i="20"/>
  <c r="L71" i="34" s="1"/>
  <c r="Q32" i="28"/>
  <c r="K71" i="34"/>
  <c r="O213" i="34"/>
  <c r="I25" i="20"/>
  <c r="L230" i="34"/>
  <c r="Q130" i="34"/>
  <c r="N17" i="20"/>
  <c r="R63" i="34" s="1"/>
  <c r="O128" i="34"/>
  <c r="O102" i="34"/>
  <c r="N234" i="34"/>
  <c r="O171" i="34"/>
  <c r="H18" i="32"/>
  <c r="H13" i="32" s="1"/>
  <c r="M88" i="34" s="1"/>
  <c r="K88" i="34"/>
  <c r="I29" i="32"/>
  <c r="K67" i="34"/>
  <c r="H21" i="20"/>
  <c r="L67" i="34" s="1"/>
  <c r="N31" i="33"/>
  <c r="G22" i="20"/>
  <c r="Q20" i="36" s="1"/>
  <c r="L29" i="33"/>
  <c r="K28" i="33"/>
  <c r="I22" i="32"/>
  <c r="J25" i="32" s="1"/>
  <c r="E26" i="35"/>
  <c r="G14" i="33"/>
  <c r="H27" i="33" s="1"/>
  <c r="D14" i="33"/>
  <c r="E27" i="33" s="1"/>
  <c r="F14" i="33"/>
  <c r="G27" i="33" s="1"/>
  <c r="J18" i="30"/>
  <c r="F29" i="33"/>
  <c r="Q89" i="34"/>
  <c r="P62" i="34"/>
  <c r="N16" i="20"/>
  <c r="K16" i="20"/>
  <c r="U2" i="22"/>
  <c r="O101" i="30"/>
  <c r="K2" i="33"/>
  <c r="K25" i="33" s="1"/>
  <c r="P16" i="30"/>
  <c r="O28" i="30"/>
  <c r="O52" i="30" s="1"/>
  <c r="D10" i="33"/>
  <c r="E11" i="33"/>
  <c r="C14" i="33"/>
  <c r="O118" i="34"/>
  <c r="O126" i="34"/>
  <c r="I74" i="32"/>
  <c r="E14" i="33"/>
  <c r="F27" i="33" s="1"/>
  <c r="J23" i="33"/>
  <c r="J21" i="33"/>
  <c r="J19" i="33"/>
  <c r="J17" i="33"/>
  <c r="J15" i="33"/>
  <c r="J13" i="33"/>
  <c r="J26" i="33" s="1"/>
  <c r="K3" i="33"/>
  <c r="J24" i="33"/>
  <c r="J22" i="33"/>
  <c r="J20" i="33"/>
  <c r="J18" i="33"/>
  <c r="J16" i="33"/>
  <c r="L18" i="30"/>
  <c r="H31" i="33"/>
  <c r="I40" i="34"/>
  <c r="K18" i="30"/>
  <c r="G30" i="33"/>
  <c r="I14" i="33"/>
  <c r="J27" i="33" s="1"/>
  <c r="M62" i="34"/>
  <c r="M29" i="33" l="1"/>
  <c r="J33" i="32"/>
  <c r="J21" i="20"/>
  <c r="N67" i="34" s="1"/>
  <c r="Q185" i="34"/>
  <c r="I28" i="36"/>
  <c r="O146" i="34" s="1"/>
  <c r="O185" i="34"/>
  <c r="S109" i="36"/>
  <c r="S44" i="36"/>
  <c r="E51" i="35" s="1"/>
  <c r="M123" i="34"/>
  <c r="R44" i="36"/>
  <c r="D51" i="35" s="1"/>
  <c r="J20" i="20"/>
  <c r="R19" i="36" s="1"/>
  <c r="D27" i="35" s="1"/>
  <c r="R18" i="36"/>
  <c r="S39" i="30"/>
  <c r="S31" i="30"/>
  <c r="T31" i="30" s="1"/>
  <c r="S44" i="30"/>
  <c r="T44" i="30" s="1"/>
  <c r="Q128" i="34"/>
  <c r="J74" i="32"/>
  <c r="P26" i="22"/>
  <c r="P27" i="22" s="1"/>
  <c r="L36" i="30" s="1"/>
  <c r="R26" i="22"/>
  <c r="R27" i="22" s="1"/>
  <c r="N36" i="30" s="1"/>
  <c r="T26" i="22"/>
  <c r="T27" i="22" s="1"/>
  <c r="P36" i="30" s="1"/>
  <c r="M14" i="22"/>
  <c r="Q26" i="22"/>
  <c r="Q27" i="22" s="1"/>
  <c r="M36" i="30" s="1"/>
  <c r="K19" i="20"/>
  <c r="O65" i="34" s="1"/>
  <c r="O26" i="22"/>
  <c r="O27" i="22" s="1"/>
  <c r="K36" i="30" s="1"/>
  <c r="S26" i="22"/>
  <c r="S27" i="22" s="1"/>
  <c r="O36" i="30" s="1"/>
  <c r="V26" i="22"/>
  <c r="V27" i="22" s="1"/>
  <c r="R36" i="30" s="1"/>
  <c r="X26" i="22"/>
  <c r="X27" i="22" s="1"/>
  <c r="U26" i="22"/>
  <c r="U27" i="22" s="1"/>
  <c r="Q36" i="30" s="1"/>
  <c r="N26" i="22"/>
  <c r="N27" i="22" s="1"/>
  <c r="J36" i="30" s="1"/>
  <c r="W26" i="22"/>
  <c r="W27" i="22" s="1"/>
  <c r="R213" i="34"/>
  <c r="Q48" i="28"/>
  <c r="M25" i="20" s="1"/>
  <c r="M19" i="20"/>
  <c r="N19" i="20" s="1"/>
  <c r="R65" i="34" s="1"/>
  <c r="J19" i="20"/>
  <c r="N65" i="34" s="1"/>
  <c r="M65" i="34"/>
  <c r="H22" i="20"/>
  <c r="I26" i="32"/>
  <c r="O93" i="34" s="1"/>
  <c r="M71" i="34"/>
  <c r="J25" i="20"/>
  <c r="N71" i="34" s="1"/>
  <c r="K25" i="20"/>
  <c r="O230" i="34"/>
  <c r="N30" i="33"/>
  <c r="K21" i="20"/>
  <c r="O67" i="34" s="1"/>
  <c r="M90" i="34"/>
  <c r="G26" i="20"/>
  <c r="K68" i="34"/>
  <c r="H33" i="33"/>
  <c r="L23" i="30" s="1"/>
  <c r="L26" i="30" s="1"/>
  <c r="G33" i="33"/>
  <c r="K23" i="30" s="1"/>
  <c r="K26" i="30" s="1"/>
  <c r="O92" i="34"/>
  <c r="F33" i="33"/>
  <c r="J23" i="30" s="1"/>
  <c r="J26" i="30" s="1"/>
  <c r="L28" i="33"/>
  <c r="J14" i="33"/>
  <c r="K27" i="33" s="1"/>
  <c r="V2" i="22"/>
  <c r="P101" i="30"/>
  <c r="P28" i="30"/>
  <c r="P52" i="30" s="1"/>
  <c r="L2" i="33"/>
  <c r="L25" i="33" s="1"/>
  <c r="Q16" i="30"/>
  <c r="R62" i="34"/>
  <c r="M16" i="20"/>
  <c r="J22" i="32"/>
  <c r="L3" i="33"/>
  <c r="K24" i="33"/>
  <c r="K22" i="33"/>
  <c r="K20" i="33"/>
  <c r="K18" i="33"/>
  <c r="K16" i="33"/>
  <c r="K23" i="33"/>
  <c r="K21" i="33"/>
  <c r="K19" i="33"/>
  <c r="K17" i="33"/>
  <c r="K15" i="33"/>
  <c r="K13" i="33"/>
  <c r="K26" i="33" s="1"/>
  <c r="I22" i="20"/>
  <c r="M66" i="34"/>
  <c r="J33" i="33"/>
  <c r="N23" i="30" s="1"/>
  <c r="N26" i="30" s="1"/>
  <c r="I18" i="30"/>
  <c r="E28" i="33"/>
  <c r="E33" i="33" s="1"/>
  <c r="I23" i="30" s="1"/>
  <c r="I26" i="30" s="1"/>
  <c r="O62" i="34"/>
  <c r="C10" i="33"/>
  <c r="C11" i="33" s="1"/>
  <c r="G18" i="30" s="1"/>
  <c r="D11" i="33"/>
  <c r="H18" i="30" s="1"/>
  <c r="Q119" i="34"/>
  <c r="J67" i="32"/>
  <c r="T108" i="36" s="1"/>
  <c r="O123" i="34"/>
  <c r="J30" i="32" l="1"/>
  <c r="M15" i="22"/>
  <c r="Y14" i="22"/>
  <c r="Q21" i="36"/>
  <c r="C30" i="35" s="1"/>
  <c r="T109" i="36"/>
  <c r="T114" i="36"/>
  <c r="Q123" i="34"/>
  <c r="T44" i="36"/>
  <c r="F51" i="35" s="1"/>
  <c r="N66" i="34"/>
  <c r="R20" i="36"/>
  <c r="K20" i="20"/>
  <c r="L19" i="20"/>
  <c r="P65" i="34" s="1"/>
  <c r="H26" i="20"/>
  <c r="L72" i="34" s="1"/>
  <c r="Q65" i="34"/>
  <c r="I18" i="32"/>
  <c r="J22" i="20"/>
  <c r="L68" i="34"/>
  <c r="R230" i="34"/>
  <c r="J29" i="32"/>
  <c r="O71" i="34"/>
  <c r="L25" i="20"/>
  <c r="P71" i="34" s="1"/>
  <c r="N25" i="20"/>
  <c r="R71" i="34" s="1"/>
  <c r="Q71" i="34"/>
  <c r="L21" i="20"/>
  <c r="G27" i="20"/>
  <c r="K72" i="34"/>
  <c r="M28" i="33"/>
  <c r="D27" i="33"/>
  <c r="D33" i="33" s="1"/>
  <c r="H23" i="30" s="1"/>
  <c r="H26" i="30" s="1"/>
  <c r="K33" i="33"/>
  <c r="O23" i="30" s="1"/>
  <c r="O26" i="30" s="1"/>
  <c r="N29" i="33"/>
  <c r="M3" i="33"/>
  <c r="L24" i="33"/>
  <c r="L22" i="33"/>
  <c r="L20" i="33"/>
  <c r="L18" i="33"/>
  <c r="L16" i="33"/>
  <c r="L21" i="33"/>
  <c r="L15" i="33"/>
  <c r="L19" i="33"/>
  <c r="L13" i="33"/>
  <c r="L26" i="33" s="1"/>
  <c r="L23" i="33"/>
  <c r="L17" i="33"/>
  <c r="Q92" i="34"/>
  <c r="Q118" i="34"/>
  <c r="M68" i="34"/>
  <c r="I26" i="20"/>
  <c r="K14" i="33"/>
  <c r="L27" i="33" s="1"/>
  <c r="Q62" i="34"/>
  <c r="M20" i="20"/>
  <c r="W2" i="22"/>
  <c r="Q101" i="30"/>
  <c r="M2" i="33"/>
  <c r="M25" i="33" s="1"/>
  <c r="Q28" i="30"/>
  <c r="Q52" i="30" s="1"/>
  <c r="R16" i="30"/>
  <c r="S18" i="30"/>
  <c r="Q94" i="34" l="1"/>
  <c r="Y15" i="22"/>
  <c r="M26" i="22"/>
  <c r="M27" i="22" s="1"/>
  <c r="I36" i="30" s="1"/>
  <c r="S36" i="30" s="1"/>
  <c r="K73" i="34"/>
  <c r="Q102" i="36"/>
  <c r="Q22" i="36"/>
  <c r="R21" i="36"/>
  <c r="N20" i="20"/>
  <c r="T19" i="36" s="1"/>
  <c r="F27" i="35" s="1"/>
  <c r="T18" i="36"/>
  <c r="L20" i="20"/>
  <c r="P66" i="34" s="1"/>
  <c r="S18" i="36"/>
  <c r="G15" i="36"/>
  <c r="Q32" i="36" s="1"/>
  <c r="J26" i="20"/>
  <c r="N72" i="34" s="1"/>
  <c r="O66" i="34"/>
  <c r="K22" i="20"/>
  <c r="L22" i="20" s="1"/>
  <c r="P67" i="34"/>
  <c r="O90" i="34"/>
  <c r="I13" i="32"/>
  <c r="O88" i="34" s="1"/>
  <c r="N68" i="34"/>
  <c r="M21" i="20"/>
  <c r="Q67" i="34" s="1"/>
  <c r="J26" i="32"/>
  <c r="J18" i="32" s="1"/>
  <c r="Q90" i="34" s="1"/>
  <c r="H27" i="20"/>
  <c r="L73" i="34" s="1"/>
  <c r="G31" i="20"/>
  <c r="L14" i="33"/>
  <c r="M27" i="33" s="1"/>
  <c r="X2" i="22"/>
  <c r="N2" i="33"/>
  <c r="N25" i="33" s="1"/>
  <c r="R101" i="30"/>
  <c r="R28" i="30"/>
  <c r="R52" i="30" s="1"/>
  <c r="N3" i="33"/>
  <c r="M24" i="33"/>
  <c r="M22" i="33"/>
  <c r="M20" i="33"/>
  <c r="M18" i="33"/>
  <c r="M16" i="33"/>
  <c r="M23" i="33"/>
  <c r="M21" i="33"/>
  <c r="M19" i="33"/>
  <c r="M17" i="33"/>
  <c r="M15" i="33"/>
  <c r="M13" i="33"/>
  <c r="M26" i="33" s="1"/>
  <c r="N28" i="33"/>
  <c r="M72" i="34"/>
  <c r="I27" i="20"/>
  <c r="U45" i="30" s="1"/>
  <c r="Q66" i="34"/>
  <c r="L33" i="33"/>
  <c r="P23" i="30" s="1"/>
  <c r="P26" i="30" s="1"/>
  <c r="N21" i="20" l="1"/>
  <c r="R67" i="34" s="1"/>
  <c r="R102" i="36"/>
  <c r="R66" i="34"/>
  <c r="J241" i="34"/>
  <c r="Q33" i="36"/>
  <c r="J242" i="34" s="1"/>
  <c r="K136" i="34"/>
  <c r="Q31" i="36"/>
  <c r="J240" i="34" s="1"/>
  <c r="R22" i="36"/>
  <c r="D30" i="35"/>
  <c r="S21" i="36"/>
  <c r="H15" i="36"/>
  <c r="G21" i="36"/>
  <c r="K76" i="34"/>
  <c r="Q23" i="36"/>
  <c r="S19" i="36"/>
  <c r="E27" i="35" s="1"/>
  <c r="S20" i="36"/>
  <c r="O68" i="34"/>
  <c r="K26" i="20"/>
  <c r="N45" i="30"/>
  <c r="P68" i="34"/>
  <c r="H31" i="20"/>
  <c r="Q24" i="36" s="1"/>
  <c r="C28" i="35" s="1"/>
  <c r="M22" i="20"/>
  <c r="Q93" i="34"/>
  <c r="J13" i="32"/>
  <c r="Q88" i="34" s="1"/>
  <c r="G60" i="32"/>
  <c r="H58" i="32" s="1"/>
  <c r="M112" i="34" s="1"/>
  <c r="P45" i="30"/>
  <c r="L45" i="30"/>
  <c r="L50" i="30" s="1"/>
  <c r="L61" i="30" s="1"/>
  <c r="L102" i="30" s="1"/>
  <c r="H45" i="30"/>
  <c r="H50" i="30" s="1"/>
  <c r="H61" i="30" s="1"/>
  <c r="H102" i="30" s="1"/>
  <c r="R45" i="30"/>
  <c r="G45" i="30"/>
  <c r="J45" i="30"/>
  <c r="J50" i="30" s="1"/>
  <c r="J61" i="30" s="1"/>
  <c r="J102" i="30" s="1"/>
  <c r="M45" i="30"/>
  <c r="M50" i="30" s="1"/>
  <c r="M61" i="30" s="1"/>
  <c r="M102" i="30" s="1"/>
  <c r="K45" i="30"/>
  <c r="K50" i="30" s="1"/>
  <c r="K61" i="30" s="1"/>
  <c r="K102" i="30" s="1"/>
  <c r="O45" i="30"/>
  <c r="I45" i="30"/>
  <c r="I50" i="30" s="1"/>
  <c r="I61" i="30" s="1"/>
  <c r="I102" i="30" s="1"/>
  <c r="Q45" i="30"/>
  <c r="M73" i="34"/>
  <c r="J27" i="20"/>
  <c r="N73" i="34" s="1"/>
  <c r="M33" i="33"/>
  <c r="Q23" i="30" s="1"/>
  <c r="Q26" i="30" s="1"/>
  <c r="M14" i="33"/>
  <c r="N27" i="33" s="1"/>
  <c r="I31" i="20"/>
  <c r="N24" i="33"/>
  <c r="N22" i="33"/>
  <c r="N20" i="33"/>
  <c r="N18" i="33"/>
  <c r="N16" i="33"/>
  <c r="N23" i="33"/>
  <c r="N21" i="33"/>
  <c r="N19" i="33"/>
  <c r="N17" i="33"/>
  <c r="N15" i="33"/>
  <c r="N13" i="33"/>
  <c r="N26" i="33" s="1"/>
  <c r="O50" i="30" l="1"/>
  <c r="O61" i="30" s="1"/>
  <c r="O102" i="30" s="1"/>
  <c r="N50" i="30"/>
  <c r="N61" i="30" s="1"/>
  <c r="N102" i="30" s="1"/>
  <c r="R32" i="36"/>
  <c r="L241" i="34" s="1"/>
  <c r="R31" i="36"/>
  <c r="L240" i="34" s="1"/>
  <c r="M136" i="34"/>
  <c r="S22" i="36"/>
  <c r="E30" i="35"/>
  <c r="G42" i="36"/>
  <c r="G43" i="36" s="1"/>
  <c r="K161" i="34" s="1"/>
  <c r="K142" i="34"/>
  <c r="J31" i="20"/>
  <c r="R24" i="36" s="1"/>
  <c r="D28" i="35" s="1"/>
  <c r="R23" i="36"/>
  <c r="T20" i="36"/>
  <c r="L26" i="20"/>
  <c r="P72" i="34" s="1"/>
  <c r="H21" i="36"/>
  <c r="M142" i="34" s="1"/>
  <c r="K27" i="20"/>
  <c r="L27" i="20" s="1"/>
  <c r="P73" i="34" s="1"/>
  <c r="O72" i="34"/>
  <c r="S45" i="30"/>
  <c r="T45" i="30" s="1"/>
  <c r="G50" i="30"/>
  <c r="L76" i="34"/>
  <c r="N22" i="20"/>
  <c r="Q68" i="34"/>
  <c r="M26" i="20"/>
  <c r="G56" i="32"/>
  <c r="K114" i="34"/>
  <c r="N14" i="33"/>
  <c r="N33" i="33"/>
  <c r="R23" i="30" s="1"/>
  <c r="M76" i="34"/>
  <c r="H60" i="32"/>
  <c r="M114" i="34" s="1"/>
  <c r="P50" i="30" l="1"/>
  <c r="P61" i="30" s="1"/>
  <c r="P102" i="30" s="1"/>
  <c r="S102" i="36"/>
  <c r="R33" i="36"/>
  <c r="L242" i="34" s="1"/>
  <c r="K160" i="34"/>
  <c r="I15" i="36"/>
  <c r="I21" i="36" s="1"/>
  <c r="O142" i="34" s="1"/>
  <c r="Q104" i="36"/>
  <c r="Q105" i="36" s="1"/>
  <c r="T21" i="36"/>
  <c r="N76" i="34"/>
  <c r="N26" i="20"/>
  <c r="R72" i="34" s="1"/>
  <c r="O73" i="34"/>
  <c r="K31" i="20"/>
  <c r="G61" i="30"/>
  <c r="G102" i="30" s="1"/>
  <c r="R68" i="34"/>
  <c r="M27" i="20"/>
  <c r="T102" i="36" s="1"/>
  <c r="Q72" i="34"/>
  <c r="G98" i="32"/>
  <c r="R26" i="30"/>
  <c r="K110" i="34"/>
  <c r="S23" i="30"/>
  <c r="Q50" i="30" l="1"/>
  <c r="Q61" i="30" s="1"/>
  <c r="Q102" i="30" s="1"/>
  <c r="Q110" i="36"/>
  <c r="Q16" i="36" s="1"/>
  <c r="Q25" i="36" s="1"/>
  <c r="S32" i="36"/>
  <c r="N241" i="34" s="1"/>
  <c r="S31" i="36"/>
  <c r="N240" i="34" s="1"/>
  <c r="T22" i="36"/>
  <c r="F30" i="35"/>
  <c r="O136" i="34"/>
  <c r="Q43" i="36"/>
  <c r="Q35" i="36"/>
  <c r="G49" i="32"/>
  <c r="R103" i="36"/>
  <c r="L31" i="20"/>
  <c r="P76" i="34" s="1"/>
  <c r="S23" i="36"/>
  <c r="J15" i="36"/>
  <c r="O76" i="34"/>
  <c r="I60" i="32"/>
  <c r="O114" i="34" s="1"/>
  <c r="N27" i="20"/>
  <c r="R73" i="34" s="1"/>
  <c r="M31" i="20"/>
  <c r="Q73" i="34"/>
  <c r="S26" i="30"/>
  <c r="C4" i="35"/>
  <c r="K131" i="34"/>
  <c r="G38" i="32" l="1"/>
  <c r="Q27" i="36"/>
  <c r="S40" i="30"/>
  <c r="S37" i="30"/>
  <c r="S38" i="30"/>
  <c r="T32" i="36"/>
  <c r="P241" i="34" s="1"/>
  <c r="T31" i="36"/>
  <c r="P240" i="34" s="1"/>
  <c r="S33" i="36"/>
  <c r="N242" i="34" s="1"/>
  <c r="Q136" i="34"/>
  <c r="Q36" i="36"/>
  <c r="J245" i="34" s="1"/>
  <c r="J244" i="34"/>
  <c r="Q47" i="36"/>
  <c r="C50" i="35"/>
  <c r="S24" i="36"/>
  <c r="E28" i="35" s="1"/>
  <c r="Q115" i="36"/>
  <c r="Q37" i="36" s="1"/>
  <c r="N31" i="20"/>
  <c r="T24" i="36" s="1"/>
  <c r="F28" i="35" s="1"/>
  <c r="T23" i="36"/>
  <c r="J21" i="36"/>
  <c r="Q142" i="34" s="1"/>
  <c r="Q76" i="34"/>
  <c r="J60" i="32"/>
  <c r="Q114" i="34" s="1"/>
  <c r="K106" i="34"/>
  <c r="R50" i="30" l="1"/>
  <c r="T33" i="36"/>
  <c r="P242" i="34" s="1"/>
  <c r="R48" i="36"/>
  <c r="H39" i="36" s="1"/>
  <c r="C52" i="35"/>
  <c r="Q38" i="36"/>
  <c r="J247" i="34" s="1"/>
  <c r="J246" i="34"/>
  <c r="R76" i="34"/>
  <c r="G51" i="32"/>
  <c r="K107" i="34" s="1"/>
  <c r="K96" i="34"/>
  <c r="Q29" i="36"/>
  <c r="S50" i="30" l="1"/>
  <c r="R61" i="30"/>
  <c r="R49" i="36"/>
  <c r="Q28" i="36"/>
  <c r="J237" i="34" s="1"/>
  <c r="J236" i="34"/>
  <c r="Q30" i="36"/>
  <c r="J239" i="34" s="1"/>
  <c r="J238" i="34"/>
  <c r="R102" i="30" l="1"/>
  <c r="S102" i="30" s="1"/>
  <c r="S61" i="30"/>
  <c r="M157" i="34"/>
  <c r="H41" i="36"/>
  <c r="H59" i="32"/>
  <c r="H56" i="32" l="1"/>
  <c r="M113" i="34"/>
  <c r="I58" i="32"/>
  <c r="O112" i="34" s="1"/>
  <c r="H42" i="36"/>
  <c r="M159" i="34"/>
  <c r="M110" i="34" l="1"/>
  <c r="H98" i="32"/>
  <c r="R104" i="36"/>
  <c r="H43" i="36"/>
  <c r="M161" i="34" s="1"/>
  <c r="M160" i="34"/>
  <c r="R105" i="36" l="1"/>
  <c r="R110" i="36" s="1"/>
  <c r="R16" i="36" s="1"/>
  <c r="D5" i="35" s="1"/>
  <c r="S103" i="36"/>
  <c r="M131" i="34"/>
  <c r="D4" i="35"/>
  <c r="R35" i="36"/>
  <c r="R43" i="36"/>
  <c r="R25" i="36" l="1"/>
  <c r="D29" i="35" s="1"/>
  <c r="R36" i="36"/>
  <c r="L245" i="34" s="1"/>
  <c r="L244" i="34"/>
  <c r="R47" i="36"/>
  <c r="D50" i="35"/>
  <c r="S48" i="36" l="1"/>
  <c r="I39" i="36" s="1"/>
  <c r="D52" i="35"/>
  <c r="S49" i="36" l="1"/>
  <c r="I59" i="32" l="1"/>
  <c r="O157" i="34"/>
  <c r="I41" i="36"/>
  <c r="I42" i="36" l="1"/>
  <c r="O159" i="34"/>
  <c r="O113" i="34"/>
  <c r="J58" i="32"/>
  <c r="Q112" i="34" s="1"/>
  <c r="I56" i="32"/>
  <c r="O110" i="34" l="1"/>
  <c r="S104" i="36"/>
  <c r="I98" i="32"/>
  <c r="I43" i="36"/>
  <c r="O161" i="34" s="1"/>
  <c r="O160" i="34"/>
  <c r="T103" i="36" l="1"/>
  <c r="S105" i="36"/>
  <c r="E4" i="35"/>
  <c r="I49" i="32"/>
  <c r="S27" i="36" s="1"/>
  <c r="O131" i="34"/>
  <c r="S43" i="36"/>
  <c r="S35" i="36"/>
  <c r="S110" i="36" l="1"/>
  <c r="S16" i="36" s="1"/>
  <c r="E5" i="35" s="1"/>
  <c r="S47" i="36"/>
  <c r="E50" i="35"/>
  <c r="O106" i="34"/>
  <c r="I38" i="32"/>
  <c r="S115" i="36"/>
  <c r="S37" i="36" s="1"/>
  <c r="S36" i="36"/>
  <c r="N245" i="34" s="1"/>
  <c r="N244" i="34"/>
  <c r="S25" i="36" l="1"/>
  <c r="E29" i="35" s="1"/>
  <c r="O96" i="34"/>
  <c r="S29" i="36"/>
  <c r="I51" i="32"/>
  <c r="O107" i="34" s="1"/>
  <c r="N246" i="34"/>
  <c r="S38" i="36"/>
  <c r="N247" i="34" s="1"/>
  <c r="T48" i="36"/>
  <c r="E52" i="35"/>
  <c r="T49" i="36" l="1"/>
  <c r="J39" i="36"/>
  <c r="J41" i="36" s="1"/>
  <c r="N236" i="34"/>
  <c r="S28" i="36"/>
  <c r="N237" i="34" s="1"/>
  <c r="S30" i="36"/>
  <c r="N239" i="34" s="1"/>
  <c r="N238" i="34"/>
  <c r="Q157" i="34" l="1"/>
  <c r="J59" i="32"/>
  <c r="J42" i="36" l="1"/>
  <c r="J43" i="36" s="1"/>
  <c r="Q159" i="34"/>
  <c r="Q113" i="34"/>
  <c r="J56" i="32"/>
  <c r="Q160" i="34" l="1"/>
  <c r="Q161" i="34"/>
  <c r="J98" i="32"/>
  <c r="Q110" i="34"/>
  <c r="T104" i="36"/>
  <c r="T105" i="36" l="1"/>
  <c r="T110" i="36" s="1"/>
  <c r="T16" i="36" s="1"/>
  <c r="T25" i="36" s="1"/>
  <c r="F29" i="35" s="1"/>
  <c r="T35" i="36"/>
  <c r="T43" i="36"/>
  <c r="F4" i="35"/>
  <c r="Q131" i="34"/>
  <c r="J49" i="32"/>
  <c r="T27" i="36" s="1"/>
  <c r="F5" i="35" l="1"/>
  <c r="Q106" i="34"/>
  <c r="T115" i="36"/>
  <c r="T37" i="36" s="1"/>
  <c r="J38" i="32"/>
  <c r="T47" i="36"/>
  <c r="F52" i="35" s="1"/>
  <c r="F50" i="35"/>
  <c r="T36" i="36"/>
  <c r="P245" i="34" s="1"/>
  <c r="P244" i="34"/>
  <c r="M103" i="34"/>
  <c r="J51" i="32" l="1"/>
  <c r="Q107" i="34" s="1"/>
  <c r="Q96" i="34"/>
  <c r="T29" i="36"/>
  <c r="T38" i="36"/>
  <c r="P247" i="34" s="1"/>
  <c r="P246" i="34"/>
  <c r="H41" i="32"/>
  <c r="M99" i="34" l="1"/>
  <c r="H49" i="32"/>
  <c r="G17" i="30" s="1"/>
  <c r="P236" i="34"/>
  <c r="T28" i="36"/>
  <c r="P237" i="34" s="1"/>
  <c r="T30" i="36"/>
  <c r="P239" i="34" s="1"/>
  <c r="P238" i="34"/>
  <c r="R27" i="36" l="1"/>
  <c r="G62" i="30"/>
  <c r="G103" i="30" s="1"/>
  <c r="R115" i="36"/>
  <c r="R37" i="36" s="1"/>
  <c r="M106" i="34"/>
  <c r="H38" i="32"/>
  <c r="R38" i="36" l="1"/>
  <c r="L247" i="34" s="1"/>
  <c r="L246" i="34"/>
  <c r="H17" i="30"/>
  <c r="H62" i="30" s="1"/>
  <c r="H103" i="30" s="1"/>
  <c r="R29" i="36"/>
  <c r="M96" i="34"/>
  <c r="H51" i="32"/>
  <c r="R28" i="36" l="1"/>
  <c r="L237" i="34" s="1"/>
  <c r="L236" i="34"/>
  <c r="R30" i="36"/>
  <c r="L239" i="34" s="1"/>
  <c r="L238" i="34"/>
  <c r="I17" i="30"/>
  <c r="I62" i="30" s="1"/>
  <c r="J17" i="30" s="1"/>
  <c r="J62" i="30" s="1"/>
  <c r="L98" i="32"/>
  <c r="M107" i="34"/>
  <c r="I103" i="30" l="1"/>
  <c r="J103" i="30"/>
  <c r="K17" i="30"/>
  <c r="K62" i="30" s="1"/>
  <c r="L17" i="30" l="1"/>
  <c r="L62" i="30" s="1"/>
  <c r="K103" i="30"/>
  <c r="M17" i="30" l="1"/>
  <c r="M62" i="30" s="1"/>
  <c r="L103" i="30"/>
  <c r="M103" i="30" l="1"/>
  <c r="N17" i="30"/>
  <c r="N62" i="30" s="1"/>
  <c r="N103" i="30" l="1"/>
  <c r="O17" i="30"/>
  <c r="O62" i="30" s="1"/>
  <c r="O103" i="30" l="1"/>
  <c r="P17" i="30"/>
  <c r="P62" i="30" s="1"/>
  <c r="P103" i="30" l="1"/>
  <c r="Q17" i="30"/>
  <c r="Q62" i="30" s="1"/>
  <c r="Q103" i="30" l="1"/>
  <c r="R17" i="30"/>
  <c r="R62" i="30" s="1"/>
  <c r="R103" i="30" s="1"/>
  <c r="C5" i="35" l="1"/>
  <c r="C29" i="35"/>
  <c r="K48" i="26" l="1"/>
  <c r="D64" i="26"/>
  <c r="I60" i="26"/>
  <c r="I48" i="26" s="1"/>
  <c r="K40" i="34" s="1"/>
  <c r="G40" i="34"/>
  <c r="G51" i="34" l="1"/>
  <c r="K51" i="3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E16" authorId="0" shapeId="0" xr:uid="{391E1164-BAED-41EE-B620-7405F9E462C7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C20" authorId="0" shapeId="0" xr:uid="{1BB3CAA4-98C5-40CE-9A8F-9BDC9586D927}">
      <text>
        <r>
          <rPr>
            <b/>
            <sz val="10"/>
            <color indexed="81"/>
            <rFont val="Tahoma"/>
            <family val="2"/>
          </rPr>
          <t xml:space="preserve">Investoinnit, joista voidaan tehdä poistoja ja vähentää arvonlisävero! 
</t>
        </r>
        <r>
          <rPr>
            <sz val="10"/>
            <color indexed="81"/>
            <rFont val="Tahoma"/>
            <family val="2"/>
          </rPr>
          <t>Sosiaali- ja terveyspalvelukäytön investoinneista ei voida vähentää arvonlisäveroa. Kohtaan 3 merkitään investoinnit, joista ei voida vähentää arvonlisäveroa</t>
        </r>
        <r>
          <rPr>
            <b/>
            <sz val="10"/>
            <color indexed="81"/>
            <rFont val="Tahoma"/>
            <family val="2"/>
          </rPr>
          <t xml:space="preserve">. </t>
        </r>
      </text>
    </comment>
    <comment ref="E22" authorId="0" shapeId="0" xr:uid="{BA8C6E07-E1BA-4627-8547-090BC7E99CE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</t>
        </r>
      </text>
    </comment>
    <comment ref="C24" authorId="0" shapeId="0" xr:uid="{BB62C32C-D408-4080-87EF-4950EE57AA10}">
      <text>
        <r>
          <rPr>
            <b/>
            <sz val="10"/>
            <color indexed="81"/>
            <rFont val="Tahoma"/>
            <family val="2"/>
          </rPr>
          <t xml:space="preserve">Kiinteistöt ja rakennukset, joista voidaan tehdä poistoja, mutta ei voida vähentää arvonlisäveroa. </t>
        </r>
      </text>
    </comment>
    <comment ref="C27" authorId="0" shapeId="0" xr:uid="{A23B17C1-1A2B-4978-9F02-A051DDB4C3F4}">
      <text>
        <r>
          <rPr>
            <b/>
            <sz val="10"/>
            <color indexed="81"/>
            <rFont val="Tahoma"/>
            <family val="2"/>
          </rPr>
          <t xml:space="preserve">Investoinnit, joista voidaan vähentää arvonlisävero! </t>
        </r>
        <r>
          <rPr>
            <sz val="10"/>
            <color indexed="81"/>
            <rFont val="Tahoma"/>
            <family val="2"/>
          </rPr>
          <t xml:space="preserve">Kohtaan 5 ei-vähennyskelpoiset ostot. Niitä ovat sosiaali- ja terveyspalvelualan, yrityskaupan ja yksityiskäytön hankinnat sekä hankinnat ulkomailta ja yksityishenkilöiltä. </t>
        </r>
      </text>
    </comment>
    <comment ref="E28" authorId="0" shapeId="0" xr:uid="{579CB129-9C83-42D3-AD3F-69CF58BD0851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C30" authorId="0" shapeId="0" xr:uid="{92F1C757-F23F-49C8-B00F-1242D951CA9B}">
      <text>
        <r>
          <rPr>
            <b/>
            <sz val="10"/>
            <color indexed="81"/>
            <rFont val="Tahoma"/>
            <family val="2"/>
          </rPr>
          <t xml:space="preserve">Investoinnit, joista ei voida vähentää arvonlisäveroa. </t>
        </r>
        <r>
          <rPr>
            <sz val="10"/>
            <color indexed="81"/>
            <rFont val="Tahoma"/>
            <family val="2"/>
          </rPr>
          <t>Esim. yrityskaupassa siirtyvä kalusto, osto ulkomailta tai yksityishenkilöltä, sosiaali- ja terveysala ja/tai yksityiskäytön investoinnit, esim. työsuhdeauto henkilökunnan käyttöön.</t>
        </r>
      </text>
    </comment>
    <comment ref="C32" authorId="0" shapeId="0" xr:uid="{FFF07F69-CCDE-4F2E-8BB7-D9BC7DA6C456}">
      <text>
        <r>
          <rPr>
            <b/>
            <sz val="10"/>
            <color indexed="81"/>
            <rFont val="Tahoma"/>
            <family val="2"/>
          </rPr>
          <t xml:space="preserve">- itse omistetun </t>
        </r>
        <r>
          <rPr>
            <sz val="10"/>
            <color indexed="81"/>
            <rFont val="Tahoma"/>
            <family val="2"/>
          </rPr>
          <t>tontin asfaltointi, salaojitus tms. 
- soranottopaikat, turvesuot tms. (poisto kulutuksen 
  mukaan)
- alkuvarasto, tuote- tms. aineellinen hyödyke</t>
        </r>
      </text>
    </comment>
    <comment ref="E33" authorId="0" shapeId="0" xr:uid="{07AAA5C9-90A8-4541-BDEE-CC7A530812D4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C35" authorId="0" shapeId="0" xr:uid="{CC1F2D9F-2EB2-45D6-9FF1-35E1D7AD6EFC}">
      <text>
        <r>
          <rPr>
            <sz val="10"/>
            <color indexed="81"/>
            <rFont val="Tahoma"/>
            <family val="2"/>
          </rPr>
          <t>- Patentti, goodwill-arvo, tavaramerkki tms.  
- Alv-verollisen liiketoiminnan käytössä olevan vuokra-asunnon 
  ja osakehuoneiston perusparannukseen sis. työt ja tarvikkeet.
- Yrityskaupassa alv 0 % 
- Tuotekehityskustannuksiin sisältyvät ainekulut alv 0 %-hinnoin. 
  Vastaava summa vähennetään 4. E2 LIIKEVAIHTO-
  taulukossa.
- Tuotekehityskustannuksiin sisältyvät palkat sotu-maksuineen 
  alv 0 %. Vastaavat summat vähennetään  
  3. E1 KUSTANNUKSET-taulukossa. 
- Alv-% painotettu keskiarvo, jos tuotekehityskustannuksia.</t>
        </r>
      </text>
    </comment>
    <comment ref="E36" authorId="0" shapeId="0" xr:uid="{A07C1514-FDE9-4B6B-A6D6-B2534695F03E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E38" authorId="0" shapeId="0" xr:uid="{B2DB0D3C-7A73-44F7-9643-6518E33B6969}">
      <text>
        <r>
          <rPr>
            <sz val="10"/>
            <color indexed="81"/>
            <rFont val="Tahoma"/>
            <family val="2"/>
          </rPr>
          <t>Liikehuoneiston osakkeiden ja muun sijoitusomaisuuden hankintahinta, joista ei voida vähentää arvonlisäveroa.</t>
        </r>
      </text>
    </comment>
    <comment ref="E39" authorId="0" shapeId="0" xr:uid="{37E2BF92-F875-452D-AC87-5EDDC76E0923}">
      <text>
        <r>
          <rPr>
            <sz val="10"/>
            <color indexed="81"/>
            <rFont val="Tahoma"/>
            <family val="2"/>
          </rPr>
          <t>Yrityskaupassa ostettava vaihto-omaisuus otetaan huomioon käyttöpääomana. Myyntiennustetta tehtäessä ostettu vaihto-omaisuus otettava huomioon ainekäyttölaskennassa.</t>
        </r>
      </text>
    </comment>
    <comment ref="F46" authorId="1" shapeId="0" xr:uid="{5E1AFF00-6755-4B42-A91D-05AAE281EAB4}">
      <text>
        <r>
          <rPr>
            <sz val="10"/>
            <color indexed="81"/>
            <rFont val="Tahoma"/>
            <family val="2"/>
          </rPr>
          <t>Ainoastaan osakepääoman lisäys!</t>
        </r>
      </text>
    </comment>
    <comment ref="C47" authorId="0" shapeId="0" xr:uid="{29BCC587-C980-4358-A58D-E39BA687FD0B}">
      <text>
        <r>
          <rPr>
            <sz val="10"/>
            <color indexed="81"/>
            <rFont val="Tahoma"/>
            <family val="2"/>
          </rPr>
          <t xml:space="preserve">Osakepääoman lisäksi voidaan sijoittaa Sidotun vapaan pääoman rahastoon (SVOP) oman pääoman ehtoisesti. Lue lisää Yritystulkin kohdasta "Rahoitus". </t>
        </r>
      </text>
    </comment>
    <comment ref="F47" authorId="1" shapeId="0" xr:uid="{EE48945D-7D19-4085-A6D5-2E6A68665985}">
      <text>
        <r>
          <rPr>
            <sz val="10"/>
            <color indexed="81"/>
            <rFont val="Tahoma"/>
            <family val="2"/>
          </rPr>
          <t>Ainoastaan lisäsijoitus SVOP-rahastoon!</t>
        </r>
      </text>
    </comment>
    <comment ref="C49" authorId="1" shapeId="0" xr:uid="{3649756D-C58D-4EC5-958F-651B02A58212}">
      <text>
        <r>
          <rPr>
            <b/>
            <sz val="10"/>
            <color indexed="81"/>
            <rFont val="Tahoma"/>
            <family val="2"/>
          </rPr>
          <t>Pääomalainat merkitään vain tähän, ei taulukkoon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T7 LAINAT-taulukkoon.</t>
        </r>
      </text>
    </comment>
    <comment ref="F49" authorId="1" shapeId="0" xr:uid="{60DA3565-75DE-45A2-8ED4-710E1F46C05A}">
      <text>
        <r>
          <rPr>
            <sz val="10"/>
            <color indexed="81"/>
            <rFont val="Tahoma"/>
            <family val="2"/>
          </rPr>
          <t>Ainoastaan pääomalainen lisäys!</t>
        </r>
      </text>
    </comment>
    <comment ref="C50" authorId="1" shapeId="0" xr:uid="{34D4FB16-1827-4A7D-A952-0781864451E1}">
      <text>
        <r>
          <rPr>
            <sz val="10"/>
            <color indexed="81"/>
            <rFont val="Tahoma"/>
            <family val="2"/>
          </rPr>
          <t>Rahoituksen onnistumisen kannalta on suositeltavaa, että hankkeeseen sijoitetaan omaa rahoitusta vähintään 20 %. 
Tulorahoituksen lisäksi tähän merkitään yhteissumma näistä oman rahan lähteistä: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1) Omistajan antama</t>
        </r>
        <r>
          <rPr>
            <sz val="10"/>
            <color indexed="81"/>
            <rFont val="Tahoma"/>
            <family val="2"/>
          </rPr>
          <t xml:space="preserve"> pitkäaikainen velkakirjalaina, joka merkitään
     T7 LAINAT- taulukkoon. 
2) Oman työn ja materiaalin osuus (sisältö Muistiinpanoja-alueelle).
3) Pankkitalletuksen purkaminen.</t>
        </r>
      </text>
    </comment>
    <comment ref="K51" authorId="0" shapeId="0" xr:uid="{9F06FAC0-7F57-4F22-A811-CB6573EFB358}">
      <text>
        <r>
          <rPr>
            <sz val="10"/>
            <color indexed="81"/>
            <rFont val="Tahoma"/>
            <family val="2"/>
          </rPr>
          <t>Lainaehdot näkyvät informatiivisena asiana Tulostussivulla. Eivät vaikuta varsinaiseen laskentaan.</t>
        </r>
      </text>
    </comment>
    <comment ref="N52" authorId="0" shapeId="0" xr:uid="{715FB7B0-B92A-4482-B675-9865DC10EDE3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E56" authorId="1" shapeId="0" xr:uid="{5618FC7E-24CA-4684-947B-1153204E90A3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 E1 KUSTANNUKSET kohtaan 3.3. "Kone- ja työajoneuvoleasing sis. Alv".</t>
        </r>
      </text>
    </comment>
    <comment ref="E57" authorId="1" shapeId="0" xr:uid="{E18C57E6-78DB-41AC-A2EC-62B351A751CF}">
      <text>
        <r>
          <rPr>
            <sz val="10"/>
            <color indexed="81"/>
            <rFont val="Tahoma"/>
            <family val="2"/>
          </rPr>
          <t>Leasingrahoituksen määrä enintään 80 % investoinnista. Merkitään koko rahoitussumma, ei maksuerän suuruutta! Leasingvuokrien vuosikulut merkitään taulukkoon E1 KUSTANNUKSET kohtaan 3.21 "Leasingkulut investoinnit alv 0 %".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B7" authorId="0" shapeId="0" xr:uid="{0582BCB8-2A45-464A-9CB5-9CA921B5C420}">
      <text>
        <r>
          <rPr>
            <sz val="10"/>
            <color indexed="81"/>
            <rFont val="Tahoma"/>
            <family val="2"/>
          </rPr>
          <t>Yrityksen tiedot kirjoitetaan taulukkoon
 T1 Investointisuunnitelma</t>
        </r>
      </text>
    </comment>
    <comment ref="O44" authorId="0" shapeId="0" xr:uid="{F2365A07-64C2-4785-83AF-7BD6F391D220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5" authorId="0" shapeId="0" xr:uid="{C32E169B-0E88-4D8A-A0C5-C24D1E2A1B13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6" authorId="0" shapeId="0" xr:uid="{3B070EE8-E732-402F-A4AA-01A0594AC3D8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7" authorId="0" shapeId="0" xr:uid="{4B81AA05-76A5-4B1F-9122-B3CCBD6C68BB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B8" authorId="0" shapeId="0" xr:uid="{9827A44C-7145-4A5C-93D7-2972773AEB3B}">
      <text>
        <r>
          <rPr>
            <b/>
            <sz val="10"/>
            <color indexed="81"/>
            <rFont val="Tahoma"/>
            <family val="2"/>
          </rPr>
          <t>Velka tai sen osa,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 Pitkäaikaisiin lainoihin kirjataan velkakirjalainat, jotka on saatu  
- rahalaitoksilta
- vakuutusyhtiöiltä
- omistajilta ja muilta yksityisiltä rahoittajilta </t>
        </r>
      </text>
    </comment>
    <comment ref="B13" authorId="0" shapeId="0" xr:uid="{136FC5E6-0C09-4A61-A0C9-CCF874FCF61F}">
      <text>
        <r>
          <rPr>
            <sz val="10"/>
            <color indexed="81"/>
            <rFont val="Tahoma"/>
            <family val="2"/>
          </rPr>
          <t>Ensimmäisenä vuonna nostettavat lainat. Nimeä laina/rahoittaja.
Ei pääomalainoja, pääomalaina sijoitetaan taulukkoon 1.
T1 INVESTOINTISUUNNITELMA kohtaan 13.</t>
        </r>
      </text>
    </comment>
    <comment ref="C13" authorId="0" shapeId="0" xr:uid="{2CF30548-A3F7-460F-9E31-4A0F19F2F935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3" authorId="0" shapeId="0" xr:uid="{A2E31A7E-0EBA-4459-82E6-9DDF1372497D}">
      <text>
        <r>
          <rPr>
            <b/>
            <sz val="10"/>
            <color indexed="81"/>
            <rFont val="Tahoma"/>
            <family val="2"/>
          </rPr>
          <t>Kirjoita vuosiluku kokonaislukuna ilman desimaaleja</t>
        </r>
        <r>
          <rPr>
            <sz val="10"/>
            <color indexed="81"/>
            <rFont val="Tahoma"/>
            <family val="2"/>
          </rPr>
          <t>. Jos lainan takaisinmaksuaika on 1 vuosi, on laina lyhytaikainen. Summa merkitään 6. T3 TASE kohtaan 
G.1. Lyhytaikaiset rahalaitoslainat.</t>
        </r>
      </text>
    </comment>
    <comment ref="G13" authorId="0" shapeId="0" xr:uid="{4429E213-DF44-4FC3-8249-E53D65D92F2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13" authorId="0" shapeId="0" xr:uid="{A96CE2CA-1803-4CA1-924B-4A9EF8367ADB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  <comment ref="B18" authorId="0" shapeId="0" xr:uid="{48791181-9356-4F24-9FD7-A893E57A5E98}">
      <text>
        <r>
          <rPr>
            <sz val="10"/>
            <color indexed="81"/>
            <rFont val="Tahoma"/>
            <family val="2"/>
          </rPr>
          <t>Toisena vuonna nostettavat lainat. Nimeä laina/rahoittaja.
Ei pääomalainoja, pääomalaina sijoitetaan taulukkoon 1.
T1 INVESTOINTISUUNNITELMA kohtaan 13.</t>
        </r>
      </text>
    </comment>
    <comment ref="J18" authorId="0" shapeId="0" xr:uid="{140C3380-8DAB-4ACA-B92C-B77B79E63C4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18" authorId="0" shapeId="0" xr:uid="{01FA4DF4-BA63-44DD-B9E6-FD1049B0B150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  <comment ref="B23" authorId="0" shapeId="0" xr:uid="{24629EA9-01A1-43D6-A7FD-F5E76850A5E4}">
      <text>
        <r>
          <rPr>
            <sz val="10"/>
            <color indexed="81"/>
            <rFont val="Tahoma"/>
            <family val="2"/>
          </rPr>
          <t>Kolmantena vuonna nostettavat lainat. Nimeä laina/rahoittaja.
Ei pääomalainoja, pääomalaina sijoitetaan taulukkoon 1.
T1 INVESTOINTISUUNNITELMA kohtaan 13.</t>
        </r>
      </text>
    </comment>
    <comment ref="M23" authorId="0" shapeId="0" xr:uid="{DA5879D2-E987-43C3-B4CB-B2F5A901678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28" authorId="0" shapeId="0" xr:uid="{EF4FB88F-52E3-426E-B88A-94F3DCABFD0D}">
      <text>
        <r>
          <rPr>
            <sz val="10"/>
            <color indexed="81"/>
            <rFont val="Tahoma"/>
            <family val="2"/>
          </rPr>
          <t>Neljäntenä vuonna nostettavat lainat. Nimeä laina/rahoittaja.
Ei pääomalainoja, pääomalaina sijoitetaan taulukkoon 1.
T1 INVESTOINTISUUNNITELMA kohtaan 13.</t>
        </r>
      </text>
    </comment>
    <comment ref="P28" authorId="0" shapeId="0" xr:uid="{B1E1986D-8933-49C1-9EB0-467B1F872193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34" authorId="0" shapeId="0" xr:uid="{E99D2A2F-4DA8-456A-BED6-862A716DE220}">
      <text>
        <r>
          <rPr>
            <sz val="10"/>
            <color indexed="81"/>
            <rFont val="Tahoma"/>
            <family val="2"/>
          </rPr>
          <t>Ensimmäisenä vuonna nostettu osamaksuvelka.
Voit nimetä lainan/rahoittajan.</t>
        </r>
      </text>
    </comment>
    <comment ref="D34" authorId="0" shapeId="0" xr:uid="{03D3D5D6-9E42-4D37-BC66-20218428BEA3}">
      <text>
        <r>
          <rPr>
            <sz val="10"/>
            <color indexed="81"/>
            <rFont val="Tahoma"/>
            <family val="2"/>
          </rPr>
          <t>Luvun on oltava kokonaisluku. Osamaksuvelan lyhin laina-aika on 2 vuotta.</t>
        </r>
      </text>
    </comment>
    <comment ref="B35" authorId="0" shapeId="0" xr:uid="{D09F8348-0CCB-402A-89D6-7674F03E10CD}">
      <text>
        <r>
          <rPr>
            <sz val="10"/>
            <color indexed="81"/>
            <rFont val="Tahoma"/>
            <family val="2"/>
          </rPr>
          <t>Toisena vuonna nostettu osamaksuvelka.
Voit nimetä lainan/rahoittajan.</t>
        </r>
      </text>
    </comment>
    <comment ref="B36" authorId="0" shapeId="0" xr:uid="{3A7E93DE-0907-4316-970C-3DC9AD354F00}">
      <text>
        <r>
          <rPr>
            <sz val="10"/>
            <color indexed="81"/>
            <rFont val="Tahoma"/>
            <family val="2"/>
          </rPr>
          <t>Kolmantena vuonna nostettu osamaksuvelka.
Voit nimetä lainan/rahoittajan.</t>
        </r>
      </text>
    </comment>
    <comment ref="B37" authorId="0" shapeId="0" xr:uid="{00C8BF81-09A2-4E87-9C94-7905FE33F565}">
      <text>
        <r>
          <rPr>
            <sz val="10"/>
            <color indexed="81"/>
            <rFont val="Tahoma"/>
            <family val="2"/>
          </rPr>
          <t>Neljäntenä vuonna nostettu osamaksuvelka.
Voit nimetä lainan/rahoittajan.</t>
        </r>
      </text>
    </comment>
    <comment ref="C40" authorId="0" shapeId="0" xr:uid="{D85EC997-0A2B-491B-A2ED-AA2F248EBCBD}">
      <text>
        <r>
          <rPr>
            <sz val="10"/>
            <color indexed="81"/>
            <rFont val="Tahoma"/>
            <family val="2"/>
          </rPr>
          <t>Lisää lyhytaikaiset rahalaitoslainat (laina-aika alle 1 vuosi).</t>
        </r>
      </text>
    </comment>
    <comment ref="C42" authorId="0" shapeId="0" xr:uid="{9572E91A-9AE9-4D77-BC6D-6516850ABC36}">
      <text>
        <r>
          <rPr>
            <sz val="10"/>
            <color indexed="81"/>
            <rFont val="Tahoma"/>
            <family val="2"/>
          </rPr>
          <t>Luku siirtyy 1. T1 INVESTOINTISUUN. Solusta E49.</t>
        </r>
      </text>
    </comment>
    <comment ref="H42" authorId="0" shapeId="0" xr:uid="{8757F316-4DF6-481C-B8F5-BEB66D7C6A60}">
      <text>
        <r>
          <rPr>
            <sz val="10"/>
            <color indexed="81"/>
            <rFont val="Tahoma"/>
            <family val="2"/>
          </rPr>
          <t>Pitkäaikaisten pääomalainojen korko on valmiiksi laskettu. 
Lisää lyhytaikaisten (=laina-aika alle vuosi)  pääomalainojen korko.</t>
        </r>
      </text>
    </comment>
    <comment ref="K42" authorId="0" shapeId="0" xr:uid="{354F207F-48B8-441B-8FAB-E39C7D9AB6A9}">
      <text>
        <r>
          <rPr>
            <sz val="10"/>
            <color indexed="81"/>
            <rFont val="Tahoma"/>
            <family val="2"/>
          </rPr>
          <t>Pitkäaikaisten pääomalainojen korko on valmiiksi laskettu. 
Lisää lyhytaikaisten (=laina-aika alle vuosi)  pääomalainojen korko.</t>
        </r>
      </text>
    </comment>
    <comment ref="N42" authorId="0" shapeId="0" xr:uid="{5015B1AB-D34F-4B0C-BD8D-37B3162FDE16}">
      <text>
        <r>
          <rPr>
            <sz val="10"/>
            <color indexed="81"/>
            <rFont val="Tahoma"/>
            <family val="2"/>
          </rPr>
          <t>Pitkäaikaisten pääomalainojen korko on valmiiksi laskettu. Lisää lyhytaikaisten (=laina-aika alle vuosi)  pääomalainojen korko.</t>
        </r>
      </text>
    </comment>
    <comment ref="Q42" authorId="0" shapeId="0" xr:uid="{8AF66B4D-0EB2-41B7-BB37-FCB1B2D3F67B}">
      <text>
        <r>
          <rPr>
            <sz val="10"/>
            <color indexed="81"/>
            <rFont val="Tahoma"/>
            <family val="2"/>
          </rPr>
          <t>Pitkäaikaisten pääomalainojen korko on valmiiksi laskettu. Lisää lyhytaikaisten (=laina-aika alle vuosi)  pääomalainojen korko.</t>
        </r>
      </text>
    </comment>
    <comment ref="C44" authorId="0" shapeId="0" xr:uid="{5681A661-D556-42C1-9910-98F1905F6420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Siirtyy taulukkoon 6. T3 TASE soluun G73. 
Velkakirjalainat merkitään taulukkoon 
2. T7 LAINAT kohtaan "Pitkäaikaiset lainat".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D10" authorId="0" shapeId="0" xr:uid="{B3F90498-ECCD-40DD-920E-9AA1019A129D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D13" authorId="0" shapeId="0" xr:uid="{DDB893C6-9483-4A72-9204-8A8A2F69CC0B}">
      <text>
        <r>
          <rPr>
            <b/>
            <sz val="10"/>
            <color indexed="81"/>
            <rFont val="Tahoma"/>
            <family val="2"/>
          </rPr>
          <t xml:space="preserve">YKSITYISOTTO (Tmi, Ky, Ay) merkitään taulukkoon 
5. T4 RAHOITUSSUUNNITELMAn soluun H39 - K39. Muista lisätä/tarkistaa YEL-työtulon määrä solussa F35!
</t>
        </r>
        <r>
          <rPr>
            <sz val="10"/>
            <color indexed="81"/>
            <rFont val="Tahoma"/>
            <family val="2"/>
          </rPr>
          <t xml:space="preserve">Toiminimiyrittäjä, liikkeenharjoittaja ei voi maksaa palkkaa itselleen, puolisolleen tai alle 14-vuotiaalle lapselleen. Yrittäjä nostaa itselleen rahaa yrityksen tililtä yksityisottona. </t>
        </r>
        <r>
          <rPr>
            <b/>
            <sz val="10"/>
            <color indexed="81"/>
            <rFont val="Tahoma"/>
            <family val="2"/>
          </rPr>
          <t xml:space="preserve">
Avoimen ja kommandiittiyhtiön
</t>
        </r>
        <r>
          <rPr>
            <sz val="10"/>
            <color indexed="81"/>
            <rFont val="Tahoma"/>
            <family val="2"/>
          </rPr>
          <t>yhtiömies voi maksaa itselleen palkkaa ja/tai tehdä yksityisottoja.</t>
        </r>
        <r>
          <rPr>
            <b/>
            <sz val="10"/>
            <color indexed="81"/>
            <rFont val="Tahoma"/>
            <family val="2"/>
          </rPr>
          <t xml:space="preserve">
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M13" authorId="0" shapeId="0" xr:uid="{F173E6CC-3872-4D1D-9581-1D66BE5EDE99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4" authorId="0" shapeId="0" xr:uid="{095A9633-B80C-4D8D-A0F3-DE7481C8AF3E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D15" authorId="0" shapeId="0" xr:uid="{0239FC53-AABA-43B9-816F-9BE39B105282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15" authorId="0" shapeId="0" xr:uid="{2C4D9639-4F18-4CC3-8E31-5D08D0CB8F97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16" authorId="0" shapeId="0" xr:uid="{E59DB2D9-D656-41DA-B2AA-E57F82D581E4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19" authorId="1" shapeId="0" xr:uid="{00000000-0006-0000-0800-00000A000000}">
      <text>
        <r>
          <rPr>
            <sz val="10"/>
            <color indexed="81"/>
            <rFont val="Tahoma"/>
            <family val="2"/>
          </rPr>
          <t>Työtunnit kuukaudessa
- 8 h työpäivä = 172 h/kk
- 7,6 h työpäivä = 162 h/kk</t>
        </r>
      </text>
    </comment>
    <comment ref="D21" authorId="0" shapeId="0" xr:uid="{1D1DF096-2F83-4951-8519-B1744A4C4496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1" authorId="0" shapeId="0" xr:uid="{BBF74039-9374-4952-B7ED-7AAEDF7647B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3" authorId="0" shapeId="0" xr:uid="{E1E33D39-07FE-4BBB-9940-FE3D92E38C0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27" authorId="0" shapeId="0" xr:uid="{A7E3B8C9-A54D-4AE3-98EA-C73F3D42BF84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7" authorId="0" shapeId="0" xr:uid="{C46693CD-BBB9-4454-8BEB-52A2B6DE89A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9" authorId="0" shapeId="0" xr:uid="{9FABA0A9-FBCE-432B-A53C-31B809279BB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33" authorId="0" shapeId="0" xr:uid="{735698B0-F548-4058-AAEB-0EF6D20E02AC}">
      <text>
        <r>
          <rPr>
            <sz val="10"/>
            <color indexed="81"/>
            <rFont val="Tahoma"/>
            <family val="2"/>
          </rPr>
          <t>Yritys maksaa vakuutusyhtiölle TyEL-maksua keskimäärin 17,39 % palkoista.</t>
        </r>
      </text>
    </comment>
    <comment ref="D35" authorId="0" shapeId="0" xr:uid="{2355FAE0-458D-4D9C-B2AD-118C7065A69E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D36" authorId="0" shapeId="0" xr:uid="{239BC754-7700-460A-957C-2BD8BE1710D2}">
      <text>
        <r>
          <rPr>
            <sz val="10"/>
            <color indexed="81"/>
            <rFont val="Tahoma"/>
            <family val="2"/>
          </rPr>
          <t>Aloittava yrittäjä saa 22 % alennuksen eläkemaksuista ensimmäiset neljä vuotta.
- alle 53- ja yli 62 vuotiaat 24,1 % (alennettu 18,8 %)
- 53 - 62 vuotiaat 25,6 % (alennettu 20 %)</t>
        </r>
      </text>
    </comment>
    <comment ref="D40" authorId="0" shapeId="0" xr:uid="{91AEDFAD-B64C-400E-880E-C081056D7412}">
      <text>
        <r>
          <rPr>
            <b/>
            <sz val="10"/>
            <color indexed="81"/>
            <rFont val="Tahoma"/>
            <family val="2"/>
          </rPr>
          <t xml:space="preserve">Yritys maksaa  
</t>
        </r>
        <r>
          <rPr>
            <sz val="10"/>
            <color indexed="81"/>
            <rFont val="Tahoma"/>
            <family val="2"/>
          </rPr>
          <t>- valtiolle sairausvakuutusmaksua 1,53 %
- vakuutusyhtiölle Tapaturmavakuutusta keskimäärin 0,7 % (tapaturma-alttiilla aloilla jopa 7 %) ja henkivakuutusta 0,06 % 
- Työttömyysvakuutusta 0,52 %
Yhteensä 2,81 %, korota tapaturma-alttiilla aloilla.</t>
        </r>
      </text>
    </comment>
    <comment ref="D41" authorId="0" shapeId="0" xr:uid="{7F86AB73-A494-40D8-83D5-32EC7312A860}">
      <text>
        <r>
          <rPr>
            <sz val="10"/>
            <color indexed="81"/>
            <rFont val="Tahoma"/>
            <family val="2"/>
          </rPr>
          <t>- vapaaehtoisen tapaturma- ja ammattitautivakuutus 1,7 %
  YEL-työtulosta
- sairausvakuutusmaksu 1,53 % palkkatulosta</t>
        </r>
      </text>
    </comment>
    <comment ref="D42" authorId="0" shapeId="0" xr:uid="{BA3381CA-BC7A-4B11-AD14-D8CFACF6C6F9}">
      <text>
        <r>
          <rPr>
            <sz val="10"/>
            <color indexed="81"/>
            <rFont val="Tahoma"/>
            <family val="2"/>
          </rPr>
          <t>Ohjelma laskee yrityksen lainamäärän suuruisen henkivakuutuksen (= 0,008 * lainan määrä alussa). Summaa voidaan muuttaa.</t>
        </r>
      </text>
    </comment>
    <comment ref="D43" authorId="0" shapeId="0" xr:uid="{B2C2A969-825F-4B0C-BF9B-EEB9C3DEDBF8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D49" authorId="0" shapeId="0" xr:uid="{54FD5B68-8A98-49B8-9ABD-A6921D9F4B81}">
      <text>
        <r>
          <rPr>
            <sz val="10"/>
            <color indexed="81"/>
            <rFont val="Tahoma"/>
            <family val="2"/>
          </rPr>
          <t>Työterveyshuollon vuosikustannus n. 250 euroa/hlö.</t>
        </r>
      </text>
    </comment>
    <comment ref="D51" authorId="0" shapeId="0" xr:uid="{01511AAD-9125-464C-909B-168128928C46}">
      <text>
        <r>
          <rPr>
            <sz val="10"/>
            <color indexed="81"/>
            <rFont val="Tahoma"/>
            <family val="2"/>
          </rPr>
          <t>Henkilökunnan ruokailu, henkilöstön hankinta, sisäiset palaverit, lahjat henkilökunnalle mm.</t>
        </r>
      </text>
    </comment>
    <comment ref="D54" authorId="0" shapeId="0" xr:uid="{2D23B3AF-AD5B-4A0A-919E-4C2779CF39D0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C65" authorId="0" shapeId="0" xr:uid="{D6BD8A32-BD7A-46C2-83C1-9BA0C94784E9}">
      <text>
        <r>
          <rPr>
            <sz val="10"/>
            <color indexed="81"/>
            <rFont val="Tahoma"/>
            <family val="2"/>
          </rPr>
          <t xml:space="preserve">Alv 0 %-koneiden kulut kohtaan 
3.21 Leasingkulut investoinnit alv 0 % </t>
        </r>
      </text>
    </comment>
    <comment ref="D66" authorId="0" shapeId="0" xr:uid="{AE882972-3A46-4250-9FA5-2FB51915593A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D69" authorId="0" shapeId="0" xr:uid="{328F8BC7-B0D7-4D3E-A207-0D88D526F52B}">
      <text>
        <r>
          <rPr>
            <sz val="10"/>
            <color indexed="81"/>
            <rFont val="Tahoma"/>
            <family val="2"/>
          </rPr>
          <t>Leasingrahoituksen korko on 3 - 5 % -yksikköä korkeampi kuin pankkilainan korko.</t>
        </r>
      </text>
    </comment>
    <comment ref="D70" authorId="0" shapeId="0" xr:uid="{4703A84C-123D-4F69-978D-43415F12D582}">
      <text>
        <r>
          <rPr>
            <sz val="10"/>
            <color indexed="81"/>
            <rFont val="Tahoma"/>
            <family val="2"/>
          </rPr>
          <t>Vuokra-ajan jälkeen vuokranantajalle palautuvan laitteen jäännösarvo %:ia hankintahinnasta.</t>
        </r>
      </text>
    </comment>
    <comment ref="D74" authorId="0" shapeId="0" xr:uid="{4F21E1FE-7B25-4FDC-8AEF-6C10C55D03BA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6" authorId="1" shapeId="0" xr:uid="{4B7D0A18-3197-4E9D-BA8E-28F71504D02E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yksityiskäyttö.</t>
        </r>
      </text>
    </comment>
    <comment ref="C82" authorId="0" shapeId="0" xr:uid="{2F87E0B9-887D-431A-9420-C601B763A420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</t>
        </r>
      </text>
    </comment>
    <comment ref="D84" authorId="0" shapeId="0" xr:uid="{D381FB98-9937-456D-8EFE-4A227C04DE4E}">
      <text>
        <r>
          <rPr>
            <sz val="10"/>
            <color indexed="81"/>
            <rFont val="Tahoma"/>
            <family val="2"/>
          </rPr>
          <t>Pienhankinnat ja hankinnat, joiden käyttöikä on alle 3 vuotta. Nämä voidaan vähentää verotuksessa kuluna kerralla:
- Pienhankinnat esim. käsityökalut, pienlaitteet, puhelimet, joiden hinta
  on enintään 1200 € alv 0 % ja ostosten arvo yhteensä 3600 €/vuosi 
  alv 0 %.
- Koneet ja laitteet (kuluva käyttöomaisuus), joiden todennäköinen 
  taloudellinen käyttöaika on alle 3 vuotta. Ei ylärajaa hinnalle.</t>
        </r>
      </text>
    </comment>
    <comment ref="D124" authorId="0" shapeId="0" xr:uid="{7540CA01-9574-4729-AF3D-F5F2A4EC6A54}">
      <text>
        <r>
          <rPr>
            <sz val="10"/>
            <color indexed="81"/>
            <rFont val="Tahoma"/>
            <family val="2"/>
          </rPr>
          <t xml:space="preserve">Eivät ole edustuskuluja. Voidaan vähentää verotuksessa. </t>
        </r>
      </text>
    </comment>
    <comment ref="D126" authorId="0" shapeId="0" xr:uid="{42163DF3-37E5-4955-B536-FED4EC36C56D}">
      <text>
        <r>
          <rPr>
            <sz val="10"/>
            <color indexed="81"/>
            <rFont val="Tahoma"/>
            <family val="2"/>
          </rPr>
          <t xml:space="preserve">Tarkoittaa ei liiketoiminnan käytön (esim. työsuhdeauto) koneiden ja laitteiden kustannuksia. Näistä kuluista ei voida vähentää arvonlisäveroa. </t>
        </r>
      </text>
    </comment>
    <comment ref="D127" authorId="0" shapeId="0" xr:uid="{E13148F7-AFBC-41A9-BC2C-BD17D18A1AE1}">
      <text>
        <r>
          <rPr>
            <sz val="10"/>
            <color indexed="81"/>
            <rFont val="Tahoma"/>
            <family val="2"/>
          </rPr>
          <t>Tarkoittaa alv 0 % investointien leasingrahoituksen vuosikustannuksia. Kuluista ei voida vähentää arvonlisäveroa.</t>
        </r>
      </text>
    </comment>
    <comment ref="F127" authorId="0" shapeId="0" xr:uid="{BA95E30F-2493-4F4E-8CD5-2B022468B258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H127" authorId="0" shapeId="0" xr:uid="{6184EB2B-DA96-4C96-BEF0-0C7F3B997720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27" authorId="0" shapeId="0" xr:uid="{84A0407C-D0E8-4F2B-88E4-08710B0AC25B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8" authorId="0" shapeId="0" xr:uid="{411370BC-E268-48D8-B415-71FB3BBB672D}">
      <text>
        <r>
          <rPr>
            <sz val="10"/>
            <color indexed="81"/>
            <rFont val="Tahoma"/>
            <family val="2"/>
          </rPr>
          <t xml:space="preserve">Ulkopuoliset palvelut, jotka </t>
        </r>
        <r>
          <rPr>
            <b/>
            <sz val="10"/>
            <color indexed="81"/>
            <rFont val="Tahoma"/>
            <family val="2"/>
          </rPr>
          <t>eivät liity varsinaiseen liiketoimintaan.</t>
        </r>
        <r>
          <rPr>
            <sz val="10"/>
            <color indexed="81"/>
            <rFont val="Tahoma"/>
            <family val="2"/>
          </rPr>
          <t xml:space="preserve">
Alihankinta- ja työvoimanvuokraus sijoitetaan taulukkoon:
7. T2 Tulossuunnitelma -&gt; Ulkopuoliset palvelut.</t>
        </r>
      </text>
    </comment>
    <comment ref="D129" authorId="0" shapeId="0" xr:uid="{52A5F121-3025-4DE3-879C-D0B9CF1911EE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Jadelcons</author>
  </authors>
  <commentList>
    <comment ref="E9" authorId="0" shapeId="0" xr:uid="{BE467FC5-EE04-4391-A3F3-85DC92C65C39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E10" authorId="1" shapeId="0" xr:uid="{8A747F83-F31E-4F05-93AB-FE58D76F446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</t>
        </r>
      </text>
    </comment>
    <comment ref="L13" authorId="0" shapeId="0" xr:uid="{831AB43E-AEC4-43BC-86AA-9B92A36CD65C}">
      <text>
        <r>
          <rPr>
            <sz val="10"/>
            <color indexed="81"/>
            <rFont val="Tahoma"/>
            <family val="2"/>
          </rPr>
          <t>Myyntihintaa tulee nostaa vuosittain, sillä kustannukset nousevat. Ilmoita muutosprosentti.</t>
        </r>
      </text>
    </comment>
    <comment ref="E14" authorId="0" shapeId="0" xr:uid="{9458918A-03C8-466B-A789-CCD2A2FA98E3}">
      <text>
        <r>
          <rPr>
            <sz val="10"/>
            <color indexed="81"/>
            <rFont val="Tahoma"/>
            <family val="2"/>
          </rPr>
          <t xml:space="preserve">Ainekäyttö-% tarkoittaa materiaalin, osien ja ostettujen palveluiden osuutta myyntihinnasta. 
</t>
        </r>
        <r>
          <rPr>
            <b/>
            <sz val="10"/>
            <color indexed="81"/>
            <rFont val="Tahoma"/>
            <family val="2"/>
          </rPr>
          <t>Esim.</t>
        </r>
        <r>
          <rPr>
            <sz val="10"/>
            <color indexed="81"/>
            <rFont val="Tahoma"/>
            <family val="2"/>
          </rPr>
          <t xml:space="preserve"> Tuotteen myyntihinta on 100 € ja tuotteen valmistamiseen tarvittavien hankintojen kustannukset ovat 30 €. 
Ainekäyttöprosentti on 100 * 30 €/100 € = 30 %.
Hävikki huomioitava ainekäyttöprosentissa!
</t>
        </r>
        <r>
          <rPr>
            <b/>
            <sz val="10"/>
            <color indexed="81"/>
            <rFont val="Tahoma"/>
            <family val="2"/>
          </rPr>
          <t>Yrityskaupan yhteydessä ainekäyttöprosenttia määriteltäessä otettava huomioon yrityskauppaan kuuluva tavaravarasto!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I45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45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45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45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45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45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59" authorId="0" shapeId="0" xr:uid="{00000000-0006-0000-0B00-00000F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 - ALV-kulut -(vuokrat Alv 0% (E1 rivi 51)- leasingiä (E1 rivi 63)+74)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G16" authorId="0" shapeId="0" xr:uid="{30B7BF61-9A98-4777-BE08-F28A4D21098E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L16" authorId="0" shapeId="0" xr:uid="{5CB36F09-9AF3-48BA-B3F8-A68281D769C3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L19" authorId="0" shapeId="0" xr:uid="{30C0A17F-AE00-4B61-ACFA-C9402BF6F6D7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O21" authorId="0" shapeId="0" xr:uid="{0DE6CFA3-508D-4532-A5C9-BFD4AC77F858}">
      <text>
        <r>
          <rPr>
            <b/>
            <sz val="10"/>
            <color indexed="81"/>
            <rFont val="Tahoma"/>
            <family val="2"/>
          </rPr>
          <t>Ohjearvoja: 
- hyvä yli 10 %
- tyydyttävä 5 -10 %
- heikko alle 5 %</t>
        </r>
        <r>
          <rPr>
            <sz val="10"/>
            <color indexed="81"/>
            <rFont val="Tahoma"/>
            <family val="2"/>
          </rPr>
          <t>.
Liiketulos-% = 100 x Liiketulos / liiketoiminnan tuotot yhteensä.
Liiketulos kertoo, kuinka paljon varsinaisen liiketoiminnan tuotoista on jäljellä ennen rahoituseriä ja veroja. Liiketulosprosenttia verrataan toisiin saman toimialan yrityksiin.</t>
        </r>
      </text>
    </comment>
    <comment ref="O25" authorId="0" shapeId="0" xr:uid="{FCE91D04-E5E9-4010-9567-02A6D8CA1AEC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O27" authorId="0" shapeId="0" xr:uid="{B396E225-C6B0-4BCB-B40A-6BD912E1B8A8}">
      <text>
        <r>
          <rPr>
            <b/>
            <sz val="10"/>
            <color indexed="81"/>
            <rFont val="Tahoma"/>
            <family val="2"/>
          </rPr>
          <t>Ohjearvoja: 
- hyvä yli 1
- tyydyttävä 0,5 - 1
- heikko alle 0,5
Lyhytaikainen maksuvalmius =</t>
        </r>
        <r>
          <rPr>
            <sz val="10"/>
            <color indexed="81"/>
            <rFont val="Tahoma"/>
            <family val="2"/>
          </rPr>
          <t xml:space="preserve">
Rahoitusomaisuus (= lyhytaik. saamiset + rahat + rahoitusarvopaperit) / lyhytaikainen vieras pääoma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Luku mittaa yrityksen mahdollisuutta selviytyä lyhytaikaisista veloistaan pelkällä rahoitusomaisuudellaan.</t>
        </r>
      </text>
    </comment>
    <comment ref="G29" authorId="0" shapeId="0" xr:uid="{FAD9B483-E42A-47FB-B6A4-9DD93BC70C3C}">
      <text>
        <r>
          <rPr>
            <sz val="10"/>
            <color indexed="81"/>
            <rFont val="Tahoma"/>
            <family val="2"/>
          </rPr>
          <t>6. T3 TASEesta siirtynyt
- Rahoitusarvopapereiden lisäys tai vähennys</t>
        </r>
      </text>
    </comment>
    <comment ref="O29" authorId="0" shapeId="0" xr:uid="{C61EA896-05E1-4EFF-976C-EF83FA2578D7}">
      <text>
        <r>
          <rPr>
            <b/>
            <sz val="10"/>
            <color indexed="81"/>
            <rFont val="Tahoma"/>
            <family val="2"/>
          </rPr>
          <t>Ohjearvoja: 
- hyvä yli 2
- tyydyttävä 1-2
- heikko alle 1</t>
        </r>
        <r>
          <rPr>
            <sz val="10"/>
            <color indexed="81"/>
            <rFont val="Tahoma"/>
            <family val="2"/>
          </rPr>
          <t xml:space="preserve">
Pitkäaikainen maksuvalmius =
Vaihto-omaisuus + rahoitusomaisuus  / lyhytaikainen vieras pääoma
Current ratiossa ajatellaan, että myös vaihto-omaisuus voidaan realisoida lyhytaikaisten velkojen maksamiseen.</t>
        </r>
      </text>
    </comment>
    <comment ref="O31" authorId="0" shapeId="0" xr:uid="{80B499D9-05D8-466F-8609-0F00A614241D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O32" authorId="0" shapeId="0" xr:uid="{6711E6D0-D020-4BFA-8485-A9EC9EB364A6}">
      <text>
        <r>
          <rPr>
            <b/>
            <sz val="10"/>
            <color indexed="81"/>
            <rFont val="Tahoma"/>
            <family val="2"/>
          </rPr>
          <t xml:space="preserve">Ohjearvoja: 
- hyvä yli 2
- tyydyttävä 1 - 2
- heikko alle 1 </t>
        </r>
        <r>
          <rPr>
            <sz val="10"/>
            <color indexed="81"/>
            <rFont val="Tahoma"/>
            <family val="2"/>
          </rPr>
          <t xml:space="preserve">
Lainojen hoitokate = 
(rahoituskulut + rahoitustulos) / (rahoituskulut + pitkäaikaisten lainojen lyhennykset) 
Hoitokate vertaa tuloksen rahoituksellista riittävyyttä vieraan pääoman velvoitteiden hoitamiseen.</t>
        </r>
      </text>
    </comment>
    <comment ref="G35" authorId="0" shapeId="0" xr:uid="{30060CB6-81B9-41E2-80C1-C782346C5709}">
      <text>
        <r>
          <rPr>
            <sz val="10"/>
            <color indexed="81"/>
            <rFont val="Tahoma"/>
            <family val="2"/>
          </rPr>
          <t>Lisälyhennys + merkkinen.
Lyhennyserän pienentäminen - merkkinen.</t>
        </r>
      </text>
    </comment>
    <comment ref="O35" authorId="0" shapeId="0" xr:uid="{CD67282E-A6F5-4487-A3D4-D46BA8B4EF18}">
      <text>
        <r>
          <rPr>
            <b/>
            <sz val="10"/>
            <color indexed="81"/>
            <rFont val="Tahoma"/>
            <family val="2"/>
          </rPr>
          <t>Ohjearvoja:
- hyvä yli 40 %
- tyydyttävä 20 -40 %
- heikko alle 20 %
Omavaraisuusaste =</t>
        </r>
        <r>
          <rPr>
            <sz val="10"/>
            <color indexed="81"/>
            <rFont val="Tahoma"/>
            <family val="2"/>
          </rPr>
          <t xml:space="preserve">
100 x oikaistu oma pääoma / (oikaistun taseen loppusumma - saadut ennakot)
Omavaraisuusaste mittaa yrityksen vakavaraisuutta, yrityksen tappionsietokykyä ja kykyä selviytyä sitoumuksistaan pitkällä aikavälillä.</t>
        </r>
      </text>
    </comment>
    <comment ref="O37" authorId="0" shapeId="0" xr:uid="{15944EE7-E2D7-4F3D-BA0A-E9914836A9B0}">
      <text>
        <r>
          <rPr>
            <b/>
            <sz val="10"/>
            <color indexed="81"/>
            <rFont val="Tahoma"/>
            <family val="2"/>
          </rPr>
          <t>Ohjearvoja: 
- hyvä alle 1
- jos luku on nolla (tyhjä solu) tai alle 0, niin yritys on nettovelaton.</t>
        </r>
        <r>
          <rPr>
            <sz val="10"/>
            <color indexed="81"/>
            <rFont val="Tahoma"/>
            <family val="2"/>
          </rPr>
          <t xml:space="preserve"> Jos negatiivinen arvo johtuu negatiivisesta omasta pääomasta, on tunnusluku heikko.
Tunnusluku ilmoittaa, kuinka hyvin oma pääoma kattaa korollisen vieraan pääoman määrän.  
Net Gearing (nettovelkaantumisaste) =
(Korollinen vieras pääoma - rahat ja rahoitusarvopaperit) /Oikaistu oma pääoma 
Korollinen vieras pääoma = Pitkäaikainen vieras pääoma pl. saadut ennakot + Korolliset lyhytaikaiset velat + Muut korolliset sisäiset velat</t>
        </r>
      </text>
    </comment>
    <comment ref="G39" authorId="0" shapeId="0" xr:uid="{E5339768-F3AE-4DA9-A18C-8C46C50E532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C40" authorId="0" shapeId="0" xr:uid="{89A523CA-7EEE-439A-8DAE-46E2A6FF2FEB}">
      <text>
        <r>
          <rPr>
            <sz val="10"/>
            <color indexed="81"/>
            <rFont val="Tahoma"/>
            <family val="2"/>
          </rPr>
          <t>Esim. sijoitukset, talletukset yms.</t>
        </r>
      </text>
    </comment>
    <comment ref="O40" authorId="0" shapeId="0" xr:uid="{1DEA96F0-B31C-4134-815D-FC4993E0C535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O41" authorId="0" shapeId="0" xr:uid="{E9C135B9-3B20-4B77-BB63-162DCCC882D2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G43" authorId="0" shapeId="0" xr:uid="{755E9A12-B359-4C8B-BFC3-FA89A2E96D19}">
      <text>
        <r>
          <rPr>
            <sz val="10"/>
            <color indexed="81"/>
            <rFont val="Tahoma"/>
            <family val="2"/>
          </rPr>
          <t xml:space="preserve">Tarkista lopuksi, että luvut ovat yhtä suuret kuin luvut 6. T3 TASEen kohdassa B.IV Rahat ja pankkisaamiset.  </t>
        </r>
      </text>
    </comment>
    <comment ref="O45" authorId="0" shapeId="0" xr:uid="{B0B48951-37FC-45CF-A5C5-5633B17E0EB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Pankkitilirahat vähennetään varoista.</t>
        </r>
      </text>
    </comment>
    <comment ref="O46" authorId="0" shapeId="0" xr:uid="{814F4402-3C22-47CF-BD06-EF41D2E459CA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48" authorId="0" shapeId="0" xr:uid="{6E97F443-84DF-49A4-8BE7-60A5EC3E6A97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Laskukaava: 
100 * (vaihto-omaisuus/ liikevaihto (12 kk) </t>
        </r>
      </text>
    </comment>
    <comment ref="Q48" authorId="0" shapeId="0" xr:uid="{486A10A8-E31E-43EF-B8E5-477006357B3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R48" authorId="0" shapeId="0" xr:uid="{B12858BB-A6D0-46D8-9CFF-E1F5DE49C787}">
      <text>
        <r>
          <rPr>
            <b/>
            <sz val="10"/>
            <color indexed="81"/>
            <rFont val="Tahoma"/>
            <family val="2"/>
          </rPr>
          <t>Osakeyhtiö:</t>
        </r>
        <r>
          <rPr>
            <sz val="10"/>
            <color indexed="81"/>
            <rFont val="Tahoma"/>
            <family val="2"/>
          </rPr>
          <t xml:space="preserve">
Laskettu valmiiksi 8 %:n mukaan. Lukua voi muuttaa. Listaamattoman Oy:n osingosta maksetaan 7,5 % veroa 8 % nettovarallisuuteen saakka. Tämä osinko kannattaa aina maksaa. Määrä lasketaan edellisen vuoden nettovarallisuuden mukaan.
</t>
        </r>
        <r>
          <rPr>
            <b/>
            <sz val="10"/>
            <color indexed="81"/>
            <rFont val="Tahoma"/>
            <family val="2"/>
          </rPr>
          <t>T:mi, Ky ja Ay:</t>
        </r>
        <r>
          <rPr>
            <sz val="10"/>
            <color indexed="81"/>
            <rFont val="Tahoma"/>
            <family val="2"/>
          </rPr>
          <t xml:space="preserve">
Yksityisotot merkitään tähän.</t>
        </r>
      </text>
    </comment>
    <comment ref="C50" authorId="0" shapeId="0" xr:uid="{D251F7BA-F8FD-4BD2-A554-5C47462DD0DB}">
      <text>
        <r>
          <rPr>
            <sz val="10"/>
            <color indexed="81"/>
            <rFont val="Tahoma"/>
            <family val="2"/>
          </rPr>
          <t>Luku kertoo kuinka nopeasti asiakas maksaa laskunsa.
Laskukaava:
myyntisaatavat/liikevaihto x 365</t>
        </r>
      </text>
    </comment>
    <comment ref="G50" authorId="0" shapeId="0" xr:uid="{19B8C16E-A75E-4E15-AAE1-E4AA15CBD8AD}">
      <text>
        <r>
          <rPr>
            <sz val="10"/>
            <color indexed="81"/>
            <rFont val="Tahoma"/>
            <family val="2"/>
          </rPr>
          <t>Onko myyntisaatavien kiertonopeutta mahdollisuus lyhentää? Kassavarat lisääntyvät nopeasti.</t>
        </r>
      </text>
    </comment>
    <comment ref="G51" authorId="0" shapeId="0" xr:uid="{1CE7973B-AF25-44DD-8185-F7EE9272C12C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G52" authorId="0" shapeId="0" xr:uid="{0698DCAE-0FB9-4776-BE9F-149FD407256A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53" authorId="0" shapeId="0" xr:uid="{EB09C5FE-1D62-4461-A807-714C412E9013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C54" authorId="0" shapeId="0" xr:uid="{213230AC-B672-427F-890A-8DB36391D24A}">
      <text>
        <r>
          <rPr>
            <sz val="10"/>
            <color indexed="81"/>
            <rFont val="Tahoma"/>
            <family val="2"/>
          </rPr>
          <t>Luku kertoo kuinka suuri osuus liikevaihdosta on osatuloutettu tilikauden päättyessä.
Laskukaava:
osatuloutukset * 100/ liikevaihto</t>
        </r>
      </text>
    </comment>
    <comment ref="C56" authorId="0" shapeId="0" xr:uid="{0B1EF8E6-8AF2-4B8B-8E9C-972C4C6A0308}">
      <text>
        <r>
          <rPr>
            <sz val="10"/>
            <color indexed="81"/>
            <rFont val="Tahoma"/>
            <family val="2"/>
          </rPr>
          <t>Luku kertoo kuinka nopeasti yrityksenne maksaa laskunsa.
Laskukaava:
ostovelat/tilikauden ostot x 365</t>
        </r>
      </text>
    </comment>
    <comment ref="G56" authorId="0" shapeId="0" xr:uid="{3553FAFC-03FD-477A-B0A0-7AA19388CE74}">
      <text>
        <r>
          <rPr>
            <sz val="10"/>
            <color indexed="81"/>
            <rFont val="Tahoma"/>
            <family val="2"/>
          </rPr>
          <t>Onko ostovelkojen kiertonopeus todenmukainen?</t>
        </r>
      </text>
    </comment>
    <comment ref="C58" authorId="1" shapeId="0" xr:uid="{08F890DC-94E9-43DB-A7F8-6C1484052A8B}">
      <text>
        <r>
          <rPr>
            <sz val="10"/>
            <color indexed="81"/>
            <rFont val="Tahoma"/>
            <family val="2"/>
          </rPr>
          <t xml:space="preserve">Luku kertoo kuinka paljon saatuja ennakkomaksuja on tilikauden lopussa. 
</t>
        </r>
        <r>
          <rPr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saadut ennakkomaksut x 100/liikevaihto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G15" authorId="0" shapeId="0" xr:uid="{BF18783B-FAC6-4C73-A3F0-5159C2F67995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L15" authorId="0" shapeId="0" xr:uid="{3F46438E-5903-440F-A322-EC3C2944B7CF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16" authorId="0" shapeId="0" xr:uid="{D5D47912-DFC3-468C-BA1B-17725FBEDA1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17" authorId="1" shapeId="0" xr:uid="{F28F32BA-992E-4005-BEEA-356E7094CB21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17" authorId="1" shapeId="0" xr:uid="{353C6B47-60CF-45A4-9F18-0F742329B30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17" authorId="0" shapeId="0" xr:uid="{023FD8EF-E94C-4648-B26E-2F10DDC2E055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0" authorId="0" shapeId="0" xr:uid="{FC62F672-1D5E-48D1-B6CB-C59B1A0CEE3B}">
      <text>
        <r>
          <rPr>
            <sz val="10"/>
            <color indexed="81"/>
            <rFont val="Tahoma"/>
            <family val="2"/>
          </rPr>
          <t>1. T1 INVESTOINTISUUNNITELMA-taulukon kohdasta
1. Maa-alueet. Summasta vähennetty avustus.</t>
        </r>
      </text>
    </comment>
    <comment ref="H21" authorId="0" shapeId="0" xr:uid="{28E62412-EBBB-4D4E-AF3E-3396650AF94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G23" authorId="0" shapeId="0" xr:uid="{C138A09F-7F41-4F89-9E1F-CFE1F616C17C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L23" authorId="0" shapeId="0" xr:uid="{814F31BC-6F53-48B2-A20D-B12257ECA96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4" authorId="0" shapeId="0" xr:uid="{B0D15F9E-44E1-4B72-A3B9-2F859BFA7297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25" authorId="1" shapeId="0" xr:uid="{674A367D-1873-4C96-A648-49D0F24AA7D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25" authorId="1" shapeId="0" xr:uid="{0C88AD8F-6833-4FF0-A77B-99C85CDD1163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5" authorId="0" shapeId="0" xr:uid="{86687D60-D9E3-4546-8C5F-8F69920104CD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7" authorId="0" shapeId="0" xr:uid="{E07D3E29-5755-4C77-B312-9D82BA5458D9}">
      <text>
        <r>
          <rPr>
            <sz val="10"/>
            <color indexed="81"/>
            <rFont val="Tahoma"/>
            <family val="2"/>
          </rPr>
          <t>1. T1 INVESTOINTISUUNNITELMA-taulukon kohdasta 
4. ja 5. Koneet ja kalusto. Summasta vähennetty leasingrahoitus, avustukset ja alv-palautus.</t>
        </r>
      </text>
    </comment>
    <comment ref="L27" authorId="0" shapeId="0" xr:uid="{B0805866-CCED-4661-B8D2-11EDE08D793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8" authorId="0" shapeId="0" xr:uid="{4BE7BD1A-0E9F-4713-AB86-E546A353AC9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29" authorId="1" shapeId="0" xr:uid="{A2B73C9F-8141-4B8B-8FA0-F7492B88038A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29" authorId="1" shapeId="0" xr:uid="{B1678856-0754-4761-8AED-1CD35634F66C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9" authorId="0" shapeId="0" xr:uid="{634EC1AA-704B-4904-9EF7-BB9ADA6FF608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1" authorId="0" shapeId="0" xr:uid="{711046D5-6939-47D8-8947-C37150E57374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L31" authorId="0" shapeId="0" xr:uid="{1261FBAA-A2D4-44C3-B946-B27A0E16B526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32" authorId="0" shapeId="0" xr:uid="{7549868C-2A8E-43F7-9BE8-5A20B3DAF25E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33" authorId="1" shapeId="0" xr:uid="{B73D40A2-261B-4BD8-9EE8-F05AB70C7CB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33" authorId="1" shapeId="0" xr:uid="{0F54E2B4-256C-41E3-B4DE-D9E0D761FA6E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33" authorId="0" shapeId="0" xr:uid="{4B074C25-F7FB-4E09-ACE4-AB5D880F42D2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5" authorId="0" shapeId="0" xr:uid="{1CB90BEB-702A-4D71-A455-24421FAF2475}">
      <text>
        <r>
          <rPr>
            <sz val="10"/>
            <color indexed="81"/>
            <rFont val="Tahoma"/>
            <family val="2"/>
          </rPr>
          <t>Luku siirtynyt 1. T1 INVESTOINTISUUNNITELMAn kohdasta 9. Sijoitukset.</t>
        </r>
      </text>
    </comment>
    <comment ref="H36" authorId="0" shapeId="0" xr:uid="{368BBFBB-1214-4DAE-93D2-1B36C6DE5B8F}">
      <text>
        <r>
          <rPr>
            <sz val="10"/>
            <color indexed="81"/>
            <rFont val="Tahoma"/>
            <family val="2"/>
          </rPr>
          <t>Jos sijoituksia nostetaan/tuloutetaan, merkitään vähennys tähän soluun.</t>
        </r>
      </text>
    </comment>
    <comment ref="C40" authorId="0" shapeId="0" xr:uid="{BC786AEC-ECDE-46FC-9A04-D68D8D85403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
</t>
        </r>
        <r>
          <rPr>
            <b/>
            <sz val="10"/>
            <color indexed="81"/>
            <rFont val="Tahoma"/>
            <family val="2"/>
          </rPr>
          <t xml:space="preserve">Laskukaava: </t>
        </r>
        <r>
          <rPr>
            <sz val="10"/>
            <color indexed="81"/>
            <rFont val="Tahoma"/>
            <family val="2"/>
          </rPr>
          <t xml:space="preserve">
100 * (vaihto-omaisuus/ liikevaihto (12 kk) </t>
        </r>
      </text>
    </comment>
    <comment ref="G40" authorId="0" shapeId="0" xr:uid="{A010BE43-ADB8-47F2-A0D2-280786902A73}">
      <text>
        <r>
          <rPr>
            <sz val="10"/>
            <color indexed="81"/>
            <rFont val="Tahoma"/>
            <family val="2"/>
          </rPr>
          <t>Luku siirtyy 5. T4 RAHOITUSSUUNNITELMA-taulukosta kohdasta 28, jossa sitä voidaan muuttaa.</t>
        </r>
      </text>
    </comment>
    <comment ref="C43" authorId="0" shapeId="0" xr:uid="{D19712BF-3C75-43A7-99DD-B6946C6DC79F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sz val="10"/>
            <color indexed="81"/>
            <rFont val="Tahoma"/>
            <family val="2"/>
          </rPr>
          <t xml:space="preserve">
Laskukaava</t>
        </r>
        <r>
          <rPr>
            <sz val="10"/>
            <color indexed="81"/>
            <rFont val="Tahoma"/>
            <family val="2"/>
          </rPr>
          <t>:
myyntisaatavat/liikevaihto x 365</t>
        </r>
      </text>
    </comment>
    <comment ref="G43" authorId="0" shapeId="0" xr:uid="{06847B9F-E227-468C-9896-FFC46D587344}">
      <text>
        <r>
          <rPr>
            <sz val="10"/>
            <color indexed="81"/>
            <rFont val="Tahoma"/>
            <family val="2"/>
          </rPr>
          <t>Luku siirtyy 5. T4 RAHOITUSSUUNNITELMA-taulukosta kohdasta 29, jossa sitä voidaan muuttaa.</t>
        </r>
      </text>
    </comment>
    <comment ref="C44" authorId="0" shapeId="0" xr:uid="{943BB392-A442-4D4B-9102-2D4C6A00D402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G45" authorId="0" shapeId="0" xr:uid="{22AB3558-0185-425E-A470-1119A6A0ED61}">
      <text>
        <r>
          <rPr>
            <sz val="10"/>
            <color indexed="81"/>
            <rFont val="Tahoma"/>
            <family val="2"/>
          </rPr>
          <t>Luku siirtyy 5. T4 RAHOITUSSUUNNITELMA-taulukosta kohdassa 30, jossa sitä voidaan muuttaa.</t>
        </r>
      </text>
    </comment>
    <comment ref="C46" authorId="0" shapeId="0" xr:uid="{6252A9A5-3F77-4E89-AE09-FFA61DC10FD8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C47" authorId="0" shapeId="0" xr:uid="{246E32BC-7CD0-4001-A81A-8DF0D628AB56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49" authorId="0" shapeId="0" xr:uid="{507B1DE6-04DD-4BA5-83D3-36E4AB7AE4C6}">
      <text>
        <r>
          <rPr>
            <sz val="10"/>
            <color indexed="81"/>
            <rFont val="Tahoma"/>
            <family val="2"/>
          </rPr>
          <t xml:space="preserve">Tarkista lopuksi, että luvut ovat yhtä suuret kuin 
5. T4 RAHOITUSSUUNNITELMAn kohta 27 Kumulatiivinen yli-/alijäämä. </t>
        </r>
      </text>
    </comment>
    <comment ref="G59" authorId="1" shapeId="0" xr:uid="{E1B680A1-8585-407E-8A2C-D5597B17784F}">
      <text>
        <r>
          <rPr>
            <sz val="10"/>
            <color indexed="81"/>
            <rFont val="Tahoma"/>
            <family val="2"/>
          </rPr>
          <t xml:space="preserve">Luku siirtyy 5.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G61" authorId="0" shapeId="0" xr:uid="{ACB92AA7-D641-42E7-A069-CE89EA6B1BE5}">
      <text>
        <r>
          <rPr>
            <sz val="10"/>
            <color indexed="81"/>
            <rFont val="Tahoma"/>
            <family val="2"/>
          </rPr>
          <t>Laskee SVOP-rahaston lisäyksen
1. T1 INVESTOINTISUUNNITELMAsta, kohta 11.</t>
        </r>
      </text>
    </comment>
    <comment ref="H61" authorId="1" shapeId="0" xr:uid="{83AAB10D-BEBA-4A33-BE97-3B721C4D3B27}">
      <text>
        <r>
          <rPr>
            <sz val="10"/>
            <color indexed="81"/>
            <rFont val="Tahoma"/>
            <family val="2"/>
          </rPr>
          <t xml:space="preserve">Sijoitetun vapaan pääoman rahaston (SVOP) lisäys siirtyy tähän 1. T1 INVESTOINTISUUNN.-taulukon kohdasta 11.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G65" authorId="0" shapeId="0" xr:uid="{4516C4D5-B45B-4C43-BBB1-807174B4AEA9}">
      <text>
        <r>
          <rPr>
            <sz val="10"/>
            <color indexed="81"/>
            <rFont val="Tahoma"/>
            <family val="2"/>
          </rPr>
          <t>T:mi, Ay ja Ky voivat tehdä enintään 30 %:n varauksen maksetuista palkoista.</t>
        </r>
      </text>
    </comment>
    <comment ref="G66" authorId="0" shapeId="0" xr:uid="{D3DC4C15-51BE-40A8-8C95-F2BE245DC2C7}">
      <text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</text>
    </comment>
    <comment ref="G68" authorId="0" shapeId="0" xr:uid="{69C9EE93-42A5-4464-A225-BD798E6CCCAA}">
      <text>
        <r>
          <rPr>
            <sz val="10"/>
            <color indexed="81"/>
            <rFont val="Tahoma"/>
            <family val="2"/>
          </rPr>
          <t xml:space="preserve">Velka tai sen osa, joka erääntyy maksettavaksi yhtä vuotta pidempänä aikana. Tilikauden lopun velkasaldoon ei sisälly seuraavan vuoden lyhennystä = lyhytaikainen laina. Seuraavan vuoden lyhennyserä solussa G76. 
Pitkäaikaisiin lainoihin kirjataan velkakirjalainat, jotka on saatu  
- rahalaitoksilta
- vakuutusyhtiöiltä
- omistajilta ja muilta yksityisiltä rahoittajilta </t>
        </r>
      </text>
    </comment>
    <comment ref="G69" authorId="0" shapeId="0" xr:uid="{08909269-3391-4572-925A-8BC5280CD4C6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13. 
Lisää korkoprosentti taulukkoon 2. T7 LAINAT, kohta "Pääomalainat".</t>
        </r>
      </text>
    </comment>
    <comment ref="H69" authorId="0" shapeId="0" xr:uid="{E8693C96-E6AF-4D9D-A965-36A9BAC64E5E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soluun, saldo tilikauden lopussa. </t>
        </r>
      </text>
    </comment>
    <comment ref="I69" authorId="0" shapeId="0" xr:uid="{93F34EE1-FBF7-4E7B-8735-C66442AA9CE4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soluun, saldo tilikauden lopussa. </t>
        </r>
      </text>
    </comment>
    <comment ref="J69" authorId="0" shapeId="0" xr:uid="{2A45A0E6-107B-4310-8342-246EABA204C3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soluun, saldo tilikauden lopussa. </t>
        </r>
      </text>
    </comment>
    <comment ref="G71" authorId="0" shapeId="0" xr:uid="{E361D273-F126-4042-BB8E-CD4D54EFA185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0" shapeId="0" xr:uid="{082B3526-3853-4718-B07E-5E77A197A229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0" shapeId="0" xr:uid="{E08D9C13-8FCE-411B-BB29-AC92D0D6CDFA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yhteissaldo. 
Velkakirjalainat merkitään taulukkoon 2. T7 LAINAT kohtaan "Pitkäaikaiset lainat". </t>
        </r>
      </text>
    </comment>
    <comment ref="H73" authorId="0" shapeId="0" xr:uid="{86819868-2256-4558-93E1-E10101F87A31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yhteissaldo. 
Velkakirjalainat merkitään taulukkoon 2. T7 LAINAT kohtaan "Pitkäaikaiset lainat". </t>
        </r>
      </text>
    </comment>
    <comment ref="I73" authorId="0" shapeId="0" xr:uid="{8792507A-363F-4EB5-8A3D-44FD5BD55DA0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yhteissaldo. 
Velkakirjalainat merkitään taulukkoon 2. T7 LAINAT kohtaan "Pitkäaikaiset lainat". </t>
        </r>
      </text>
    </comment>
    <comment ref="J73" authorId="0" shapeId="0" xr:uid="{9785BE51-1531-4CB8-A70A-430B6CE83EBE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yhteissaldo. 
Velkakirjalainat merkitään taulukkoon 2. T7 LAINAT kohtaan "Pitkäaikaiset lainat". </t>
        </r>
      </text>
    </comment>
    <comment ref="C74" authorId="0" shapeId="0" xr:uid="{1B783886-FD8F-47F4-B390-18A8096A8BA6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E76" authorId="0" shapeId="0" xr:uid="{3A1B53AB-DDD4-49A2-9384-CF5AD6549B2C}">
      <text>
        <r>
          <rPr>
            <sz val="10"/>
            <color indexed="81"/>
            <rFont val="Tahoma"/>
            <family val="2"/>
          </rPr>
          <t>Vuoden aikana maksettavat pitkäaikaisten lainojen lyhennykset.</t>
        </r>
      </text>
    </comment>
    <comment ref="G77" authorId="0" shapeId="0" xr:uid="{2EE84E1B-7F28-44D9-8143-C13825163593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5. T4 RAHOITUSSUUNNITELMAan.</t>
        </r>
      </text>
    </comment>
    <comment ref="H77" authorId="0" shapeId="0" xr:uid="{A8DCE93D-BF84-4525-83FB-41AEDC0BAB61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
5. T4 RAHOITUSSUUNNITELMAan.</t>
        </r>
      </text>
    </comment>
    <comment ref="G78" authorId="0" shapeId="0" xr:uid="{D6C65DA7-4309-48C9-BE9E-AAFEF67E84D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H78" authorId="0" shapeId="0" xr:uid="{4B033A3A-BE40-498E-A6BE-745FA2C38F7F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I78" authorId="0" shapeId="0" xr:uid="{AA535F1D-D068-477F-9DF7-3D2EAB1A6AFD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J78" authorId="0" shapeId="0" xr:uid="{68AE3CAD-BA13-4B48-B678-7CF1D954A67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C81" authorId="0" shapeId="0" xr:uid="{623208A9-B2A0-4E0F-BF3A-B53352457BCD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G81" authorId="0" shapeId="0" xr:uid="{DA0D7F0A-8CBE-48EC-8BBA-5D642D64BC09}">
      <text>
        <r>
          <rPr>
            <sz val="10"/>
            <color indexed="81"/>
            <rFont val="Tahoma"/>
            <family val="2"/>
          </rPr>
          <t>Luku siirtyy 5. T4 RAHOITUSSUUNNITELMA-taulukosta kohdasta 33, jossa sitä voidaan muuttaa.</t>
        </r>
      </text>
    </comment>
    <comment ref="G84" authorId="0" shapeId="0" xr:uid="{0A4C83B0-748F-4487-9103-24562BBD58C6}">
      <text>
        <r>
          <rPr>
            <sz val="10"/>
            <color indexed="81"/>
            <rFont val="Tahoma"/>
            <family val="2"/>
          </rPr>
          <t>Tilinpäätöshetkellä yrityksellä on kuukauden ennakonpidätysvelka.</t>
        </r>
      </text>
    </comment>
    <comment ref="G85" authorId="0" shapeId="0" xr:uid="{28A57005-6131-42FE-B784-96C10835CB3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G87" authorId="0" shapeId="0" xr:uid="{63A53B49-EC1C-44AB-9646-2A0198B7942B}">
      <text>
        <r>
          <rPr>
            <sz val="10"/>
            <color indexed="81"/>
            <rFont val="Tahoma"/>
            <family val="2"/>
          </rPr>
          <t>Tilinpäätöshetkellä yrityksellä on 2 kk arvonlisäverot maksamatta. Luku on nolla
- hoiva-alalla ja terveydenhuollossa 
- rahoitus- ja vakuutusalalla
- yrityksellä, jos vuosiliikevaihto on alle 15 000 euroa.</t>
        </r>
      </text>
    </comment>
    <comment ref="G88" authorId="0" shapeId="0" xr:uid="{ABEB7CE3-3E60-42C4-817F-E8A30088F707}">
      <text>
        <r>
          <rPr>
            <sz val="10"/>
            <color indexed="81"/>
            <rFont val="Tahoma"/>
            <family val="2"/>
          </rPr>
          <t>Edell. kaudelta maksamatta jääneet muut lyhytaikaiset velat tilikauden lopussa:
- henkilöstökulut
- velat omistajille
- ennakkoon saatu vuokra
- viivästysseuraamukset
- sakot</t>
        </r>
      </text>
    </comment>
    <comment ref="G90" authorId="0" shapeId="0" xr:uid="{D938E5BD-3359-4A15-B029-D8E3B4B77A00}">
      <text>
        <r>
          <rPr>
            <sz val="10"/>
            <color indexed="81"/>
            <rFont val="Tahoma"/>
            <family val="2"/>
          </rPr>
          <t>Esim. tuloverovelka, lainan laskennallinen korkovelka.</t>
        </r>
      </text>
    </comment>
    <comment ref="G93" authorId="0" shapeId="0" xr:uid="{0E5C613C-3C5B-4A6E-BF79-B899DB182FAE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3 %.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Työntekijäpalkoista yritys maksaa sivukuluja 
- TyEL-maksua 17,4 % 
- Sairausvakuutusmaksua 1,53
- Työttömyysvakuutusmaksua 0,52%
- Tapaturmavakuutusta 0,7 % ja ryhmähenki-
  vakuutusmaksua 0,06 %
Yhteensä 20,21
Jos molempia palkkoja, arvioi painotettu keskiarvo.</t>
        </r>
      </text>
    </comment>
    <comment ref="C95" authorId="0" shapeId="0" xr:uid="{50821C25-4581-4637-BB0F-3837B8B9C4BB}">
      <text>
        <r>
          <rPr>
            <sz val="10"/>
            <color indexed="81"/>
            <rFont val="Tahoma"/>
            <family val="2"/>
          </rPr>
          <t xml:space="preserve">Luku kertoo kuinka paljon asiakas maksaa ennakkomaksua tilattaessa. Esim. rakentaminen 10 % tilauksen arvosta. 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ennakkomaksu-% x liikevaihto</t>
        </r>
      </text>
    </comment>
    <comment ref="G95" authorId="0" shapeId="0" xr:uid="{B11004E3-A6F0-409B-9F1A-BAB75B09A396}">
      <text>
        <r>
          <rPr>
            <sz val="10"/>
            <color indexed="81"/>
            <rFont val="Tahoma"/>
            <family val="2"/>
          </rPr>
          <t>Luku siirtyy 5. T4 RAHOITUSSUUNNITELMA-taulukosta riviltä 58, jossa sitä voidaan muuttaa.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G10" authorId="0" shapeId="0" xr:uid="{D726FEA0-CA0D-4992-8D45-9E381CE97330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</t>
        </r>
        <r>
          <rPr>
            <b/>
            <sz val="10"/>
            <color indexed="81"/>
            <rFont val="Tahoma"/>
            <family val="2"/>
          </rPr>
          <t>Jos tilikauden pituus on muu kuin 12 kk, laske ensimmäisen vuoden kustannukset ja myynti vastaamaan tilikauden pituutta</t>
        </r>
        <r>
          <rPr>
            <sz val="10"/>
            <color indexed="81"/>
            <rFont val="Tahoma"/>
            <family val="2"/>
          </rPr>
          <t xml:space="preserve">. Ohjelma korjaa automaattisesti seuraavat vuodet! </t>
        </r>
      </text>
    </comment>
    <comment ref="C12" authorId="0" shapeId="0" xr:uid="{F5D5A381-3CA7-4873-A86D-390CDCD1A087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royaltyt jne. </t>
        </r>
      </text>
    </comment>
    <comment ref="G12" authorId="0" shapeId="0" xr:uid="{11ABA06B-357F-4659-A1D2-E4B261BF59EF}">
      <text>
        <r>
          <rPr>
            <sz val="10"/>
            <color indexed="81"/>
            <rFont val="Tahoma"/>
            <family val="2"/>
          </rPr>
          <t>Muut tuotot voidaan kirjoittaa suoraan soluun tai lisätä viereisen Muistiinpanoja-alueen taulukkoon Liiketoiminnan muut tuotot, kasvu-%.</t>
        </r>
      </text>
    </comment>
    <comment ref="C16" authorId="0" shapeId="0" xr:uid="{8BA2A7CE-0BC3-42CE-A4C5-06FCBABD7656}">
      <text>
        <r>
          <rPr>
            <sz val="10"/>
            <color indexed="81"/>
            <rFont val="Tahoma"/>
            <family val="2"/>
          </rPr>
          <t>Liikevaihtoon liittyvät esim. alihankintapalvelut, tuotannon vuokratyövoima.</t>
        </r>
      </text>
    </comment>
    <comment ref="G16" authorId="0" shapeId="0" xr:uid="{0A031AEA-FDFD-44C3-A51B-AC0A2939167A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G17" authorId="0" shapeId="0" xr:uid="{89516AA6-A657-4536-96A7-9FD6B8545537}">
      <text>
        <r>
          <rPr>
            <sz val="10"/>
            <color indexed="81"/>
            <rFont val="Tahoma"/>
            <family val="2"/>
          </rPr>
          <t>Sisältää myös lomapalkan sivukulut!
Kirjanpidossa henkilöstökuluihin on lisättävä työntekijän ansaitsemat laskennalliset lomarahat, jonka vuoksi solun luku on suurempi kuin henkilöstökulut 3. E1 KUSTANNUKSET-taulukossa.</t>
        </r>
      </text>
    </comment>
    <comment ref="G27" authorId="0" shapeId="0" xr:uid="{A6E04900-E8B2-4820-B8C6-C425EBF37086}">
      <text>
        <r>
          <rPr>
            <sz val="10"/>
            <color indexed="81"/>
            <rFont val="Tahoma"/>
            <family val="2"/>
          </rPr>
          <t xml:space="preserve">Kaava laskee verot </t>
        </r>
        <r>
          <rPr>
            <b/>
            <sz val="10"/>
            <color indexed="81"/>
            <rFont val="Tahoma"/>
            <family val="2"/>
          </rPr>
          <t xml:space="preserve">alla olevan veroprosentin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sz val="10"/>
            <color indexed="81"/>
            <rFont val="Tahoma"/>
            <family val="2"/>
          </rPr>
          <t xml:space="preserve"> ota huomioon luovutusvoiton vero ja hankintameno-olettama.</t>
        </r>
      </text>
    </comment>
    <comment ref="G28" authorId="0" shapeId="0" xr:uid="{B94FEEE3-00E5-47B6-9792-E298A478DC19}">
      <text>
        <r>
          <rPr>
            <sz val="10"/>
            <color indexed="81"/>
            <rFont val="Tahoma"/>
            <family val="2"/>
          </rPr>
          <t>Osakeyhtiön ja osuuskunnan tulovero on 20 %. Jos nollataan, on kohta 20. TILIKAUDEN VOITTO/TAPPIO verotettavan tulon määrä.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H12" authorId="0" shapeId="0" xr:uid="{A6D1720E-44B4-4D29-8507-17BCDC9E08D0}">
      <text>
        <r>
          <rPr>
            <b/>
            <sz val="10"/>
            <color indexed="81"/>
            <rFont val="Tahoma"/>
            <family val="2"/>
          </rPr>
          <t>Voit tehdä kassabudjetin ensimmäiselle tai toiselle vuodelle.</t>
        </r>
      </text>
    </comment>
    <comment ref="G16" authorId="0" shapeId="0" xr:uid="{3DCB9227-E264-4FB3-8A17-B82337291C12}">
      <text>
        <r>
          <rPr>
            <sz val="10"/>
            <color indexed="81"/>
            <rFont val="Tahoma"/>
            <family val="2"/>
          </rPr>
          <t>Kirjoita tilikauden aloituskuukausi muotoon kk/vvvv.</t>
        </r>
      </text>
    </comment>
    <comment ref="G17" authorId="0" shapeId="0" xr:uid="{20B8CBC0-CA77-4FFF-8D93-61F7D52A503C}">
      <text>
        <r>
          <rPr>
            <b/>
            <sz val="10"/>
            <color indexed="81"/>
            <rFont val="Tahoma"/>
            <family val="2"/>
          </rPr>
          <t>1. Ennustevuosi</t>
        </r>
        <r>
          <rPr>
            <sz val="10"/>
            <color indexed="81"/>
            <rFont val="Tahoma"/>
            <family val="2"/>
          </rPr>
          <t xml:space="preserve">
Lukuun sisältyvät vain 1. T1 INVESTOINTISUUN.. kohdat 11., 13. ja 14.(OMA RAHOITUS).
</t>
        </r>
        <r>
          <rPr>
            <b/>
            <sz val="10"/>
            <color indexed="81"/>
            <rFont val="Tahoma"/>
            <family val="2"/>
          </rPr>
          <t>2. Ennustevuosi</t>
        </r>
        <r>
          <rPr>
            <sz val="10"/>
            <color indexed="81"/>
            <rFont val="Tahoma"/>
            <family val="2"/>
          </rPr>
          <t xml:space="preserve">
2. ennustevuoden rahavarat taulukosta 6. T3 TASE solusta G49.</t>
        </r>
      </text>
    </comment>
    <comment ref="E19" authorId="0" shapeId="0" xr:uid="{B32CD466-29CB-4C55-8EAA-85D6376D4304}">
      <text>
        <r>
          <rPr>
            <sz val="10"/>
            <color indexed="81"/>
            <rFont val="Tahoma"/>
            <family val="2"/>
          </rPr>
          <t>Merkitse tähän käteismyynnin prosenttiosuus kokonaismyynnistä. Ennakkomaksut merkitään käteismyynniksi.</t>
        </r>
      </text>
    </comment>
    <comment ref="F19" authorId="0" shapeId="0" xr:uid="{1B0E23EF-F44B-4884-88D3-1D76920D5E93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19" authorId="0" shapeId="0" xr:uid="{D95DE368-BAD0-4A99-AA63-C51297D6930A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9" authorId="0" shapeId="0" xr:uid="{3720377E-84ED-4E6D-A184-B4E2C2696C89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20" authorId="0" shapeId="0" xr:uid="{39484F3A-F517-4AC7-9C4A-269D34702C94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F21" authorId="0" shapeId="0" xr:uid="{E00CE876-6094-4747-979C-C61BA2E72A8D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21" authorId="0" shapeId="0" xr:uid="{6EC6154F-15FA-4D5C-A296-C8A31760CDCF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21" authorId="0" shapeId="0" xr:uid="{DCF02632-A1AC-4285-8A11-2E46CE1FA70A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22" authorId="0" shapeId="0" xr:uid="{902BA66C-240C-41ED-A577-641726801D9E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E23" authorId="0" shapeId="0" xr:uid="{C1986338-71DB-4AE2-A55C-A2CC1B8B0CA4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23" authorId="0" shapeId="0" xr:uid="{11688E6A-128C-41E7-863A-916ADA961A77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25" authorId="0" shapeId="0" xr:uid="{A1B60927-ED0A-473C-AE62-B972EB5EA844}">
      <text>
        <r>
          <rPr>
            <sz val="10"/>
            <color indexed="81"/>
            <rFont val="Tahoma"/>
            <family val="2"/>
          </rPr>
          <t>Ohjelma laskee valmiiksi taulukosta 7. T2 TULOSSUUNNITELMAn kohdan 2. Liiketoiminnan muut tuotot ja 3. E1 KUSTANNUKSET-taulukosta kohdan 1.4. Saadut vakuutusmaksukorvaukset. Lisää sijoitusten tuloutuksen ja muut tulot.</t>
        </r>
      </text>
    </comment>
    <comment ref="M25" authorId="0" shapeId="0" xr:uid="{5D3E899B-6304-491B-B8DC-514EAD621E5E}">
      <text>
        <r>
          <rPr>
            <sz val="10"/>
            <color indexed="81"/>
            <rFont val="Tahoma"/>
            <family val="2"/>
          </rPr>
          <t xml:space="preserve">ELY-keskuksen avustus arvioidaan saatavan 7. kuukautena. Vaihda summa tarvittaessa eri kuukaudelle.  </t>
        </r>
      </text>
    </comment>
    <comment ref="F29" authorId="0" shapeId="0" xr:uid="{AB8904A8-B818-4D96-B10C-A3B5669D6E65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29" authorId="0" shapeId="0" xr:uid="{FA009C6A-3A03-4385-ADFE-E0AA7EEC83A5}">
      <text>
        <r>
          <rPr>
            <sz val="10"/>
            <color indexed="81"/>
            <rFont val="Tahoma"/>
            <family val="2"/>
          </rPr>
          <t xml:space="preserve">Lasketaan 7. T2 TULOSSUUNNITELMAn kohdan 5 ainekäyttö-% mukaisesti. Voit muuttaa halutessasi.  Liiketoimintakaupassa
</t>
        </r>
      </text>
    </comment>
    <comment ref="T29" authorId="0" shapeId="0" xr:uid="{D98CD19A-564B-4706-B799-5CBE2DA738FC}">
      <text>
        <r>
          <rPr>
            <sz val="10"/>
            <color indexed="81"/>
            <rFont val="Tahoma"/>
            <family val="2"/>
          </rPr>
          <t>Kassabudjetin erotus tilikauden tavoitteeseen verattuna.</t>
        </r>
      </text>
    </comment>
    <comment ref="F30" authorId="0" shapeId="0" xr:uid="{3C475C0F-87D1-4C5D-8609-BD17E6299AD9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yrityksen liiketoimintakaupan yhteydessä
- 0 % terveys- ja sosiaalipalvelut, rahoitus ja vakuutuspalvelut
- 0 % jos yrityksen vuosiliikevaihto alle 15 000 €/ vuosi </t>
        </r>
      </text>
    </comment>
    <comment ref="G30" authorId="0" shapeId="0" xr:uid="{8AD09AA7-BF8C-4F48-B514-10DEC7DF5DBF}">
      <text>
        <r>
          <rPr>
            <sz val="10"/>
            <color indexed="81"/>
            <rFont val="Tahoma"/>
            <family val="2"/>
          </rPr>
          <t>Huom. Alv-% yrityksen liiketoimintakaupan yhteydessä</t>
        </r>
      </text>
    </comment>
    <comment ref="AD30" authorId="0" shapeId="0" xr:uid="{C8939241-9C3F-4E20-B6D0-5AF1D4AC6A3F}">
      <text>
        <r>
          <rPr>
            <b/>
            <sz val="9"/>
            <color indexed="81"/>
            <rFont val="Tahoma"/>
            <family val="2"/>
          </rPr>
          <t>2023:
Sairausvakuutusmaksu 1,53 %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30" authorId="0" shapeId="0" xr:uid="{C3FB4D73-DABB-48F5-B050-A76204203AFE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30" authorId="0" shapeId="0" xr:uid="{47E8FA3C-1040-4C76-B9E3-6E087F942A4B}">
      <text>
        <r>
          <rPr>
            <b/>
            <sz val="9"/>
            <color indexed="81"/>
            <rFont val="Tahoma"/>
            <family val="2"/>
          </rPr>
          <t>2023: Työntekijä maksaa
TT-vakuutusmaksu 1,5 % + TyEL-maksu 7,15 %</t>
        </r>
        <r>
          <rPr>
            <sz val="9"/>
            <color indexed="81"/>
            <rFont val="Tahoma"/>
            <family val="2"/>
          </rPr>
          <t xml:space="preserve">
= 8,65%
</t>
        </r>
      </text>
    </comment>
    <comment ref="F31" authorId="0" shapeId="0" xr:uid="{831CC965-C4CB-40E7-B8C2-2C4630E81EFB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AE31" authorId="0" shapeId="0" xr:uid="{A7B78AB5-776E-433E-B781-3B501C6F5885}">
      <text>
        <r>
          <rPr>
            <b/>
            <sz val="9"/>
            <color indexed="81"/>
            <rFont val="Tahoma"/>
            <family val="2"/>
          </rPr>
          <t xml:space="preserve">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2" authorId="0" shapeId="0" xr:uid="{15C12036-5E40-43B9-9596-A89549511369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32" authorId="0" shapeId="0" xr:uid="{A6B9D570-C928-4EAE-B834-F4E9E46DA0DA}">
      <text>
        <r>
          <rPr>
            <sz val="10"/>
            <color indexed="81"/>
            <rFont val="Tahoma"/>
            <family val="2"/>
          </rPr>
          <t xml:space="preserve">Lisää investoinnit 1. T1 INVESTOINTISUUNNITELMA -taulukosta. Vähennä leasingrahoitus. Sijoita toteutumis-kuukaudelle. </t>
        </r>
      </text>
    </comment>
    <comment ref="F33" authorId="0" shapeId="0" xr:uid="{4EB59D9B-3E87-4A9A-AC64-09F9A8AA66F4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33" authorId="0" shapeId="0" xr:uid="{AE6C1950-60AA-4AA0-B5C3-32E032EB2C3B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F34" authorId="0" shapeId="0" xr:uid="{F3D53843-246C-4AD4-977F-565FE9F486AD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F35" authorId="0" shapeId="0" xr:uid="{961C6F05-70BE-45AE-AF54-C634AE739721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36" authorId="0" shapeId="0" xr:uid="{B8C8A64E-BB50-4F73-B9FC-3F260D84EEB2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F39" authorId="0" shapeId="0" xr:uid="{19ADA22E-458A-4349-B36A-F481EB15C50A}">
      <text>
        <r>
          <rPr>
            <b/>
            <sz val="10"/>
            <color indexed="81"/>
            <rFont val="Tahoma"/>
            <family val="2"/>
          </rPr>
          <t xml:space="preserve">YEL-vakuutusmaksu
</t>
        </r>
        <r>
          <rPr>
            <sz val="10"/>
            <color indexed="81"/>
            <rFont val="Tahoma"/>
            <family val="2"/>
          </rPr>
          <t xml:space="preserve">- 24,1 % YEL-työtulosta alle 53- ja yli 62-vuotiaalta
- 53 - 62 -vuotiaalta 25,6 %
- maksut kuukausittain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alle 53 v ja yli 63 vuotta 18,7 %
- YEL -vakuutusmaksu 53 - 62 -vuotias 19,9 %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Yhteensä YEL ja tapaturmavakuutusmaksu
- alle 53- ja yli 62 -vuotta 25,8 % (uusi yrittäjä 20,4 %)
- 53 - 62 vuotta 27,3 % (uusi yrittäjä 21,6 %)</t>
        </r>
      </text>
    </comment>
    <comment ref="F40" authorId="0" shapeId="0" xr:uid="{98138B8D-869F-4717-9BDA-9D1644EF4323}">
      <text>
        <r>
          <rPr>
            <b/>
            <sz val="10"/>
            <color indexed="81"/>
            <rFont val="Tahoma"/>
            <family val="2"/>
          </rPr>
          <t>Yritys maksaa palkoista:</t>
        </r>
        <r>
          <rPr>
            <sz val="10"/>
            <color indexed="81"/>
            <rFont val="Tahoma"/>
            <family val="2"/>
          </rPr>
          <t xml:space="preserve"> 
- TyEL-maksua keskimäärin 24,84 %
- Tapaturmavakuutusmaksua keskimäärin 0,7 % 
  (tapaturma-alttiilla aloilla max. 7 %) 
- Ryhmähenkivakuutusta 0,06 %
- Työttömyysvakuutusta 1,54 %
</t>
        </r>
        <r>
          <rPr>
            <b/>
            <sz val="10"/>
            <color indexed="81"/>
            <rFont val="Tahoma"/>
            <family val="2"/>
          </rPr>
          <t>Yhteensä keskimäärin 27,14 %</t>
        </r>
        <r>
          <rPr>
            <sz val="10"/>
            <color indexed="81"/>
            <rFont val="Tahoma"/>
            <family val="2"/>
          </rPr>
          <t>, korota tapaturma-alttiilla aloilla.</t>
        </r>
      </text>
    </comment>
    <comment ref="T41" authorId="0" shapeId="0" xr:uid="{A86978C3-9F77-45FD-8F26-D90D73AC76E1}">
      <text>
        <r>
          <rPr>
            <sz val="10"/>
            <color indexed="81"/>
            <rFont val="Tahoma"/>
            <family val="2"/>
          </rPr>
          <t>Kassabudjetin erotus tilikauden tavoitteeseen verattuna.</t>
        </r>
      </text>
    </comment>
    <comment ref="C44" authorId="0" shapeId="0" xr:uid="{045CF9AD-2705-44AE-8F28-7D702B85C47A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6" authorId="0" shapeId="0" xr:uid="{FC064808-DD39-42E6-BB97-267D6D77B497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</t>
        </r>
      </text>
    </comment>
    <comment ref="G53" authorId="0" shapeId="0" xr:uid="{365D2D75-AE6D-45A4-A2DF-AB8E8F4AF283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53" authorId="0" shapeId="0" xr:uid="{4716A8B8-8F84-41BF-858E-F523160FBC08}">
      <text>
        <r>
          <rPr>
            <sz val="10"/>
            <color indexed="81"/>
            <rFont val="Tahoma"/>
            <family val="2"/>
          </rPr>
          <t>Kassabudjetin erotus tilikauden tavoitteeseen verattuna.</t>
        </r>
      </text>
    </comment>
    <comment ref="G54" authorId="0" shapeId="0" xr:uid="{1EE79EDC-368E-4C51-A501-44C341E82B5B}">
      <text>
        <r>
          <rPr>
            <sz val="10"/>
            <color indexed="81"/>
            <rFont val="Tahoma"/>
            <family val="2"/>
          </rPr>
          <t>Luku sisältää koko vuoden pitkäaikaiset laina- ja osamaksulisäykset taulukosta 2. T7 LAINAT. Lisää lyhytaikaiset ja muut ilman velkakirjaa nostetut lainat. Sijoita oikealle kuukaudelle! .</t>
        </r>
      </text>
    </comment>
    <comment ref="G55" authorId="0" shapeId="0" xr:uid="{C797F35F-5A6A-4E08-89D3-D20B4694CBF8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56" authorId="0" shapeId="0" xr:uid="{63FE10C5-3AE1-4223-BC02-8E6EE581EF89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7" authorId="0" shapeId="0" xr:uid="{36E4F0CB-0D46-4A81-B7C1-415E1E6D86D9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8" authorId="0" shapeId="0" xr:uid="{D71B2894-E178-4AFA-B5B8-11E68CBEA919}">
      <text>
        <r>
          <rPr>
            <sz val="10"/>
            <color indexed="81"/>
            <rFont val="Tahoma"/>
            <family val="2"/>
          </rPr>
          <t xml:space="preserve">Omistajien antamat </t>
        </r>
        <r>
          <rPr>
            <b/>
            <sz val="10"/>
            <color indexed="81"/>
            <rFont val="Tahoma"/>
            <family val="2"/>
          </rPr>
          <t>pääomalainat 1. ennustevuoden jälkeen</t>
        </r>
        <r>
          <rPr>
            <sz val="10"/>
            <color indexed="81"/>
            <rFont val="Tahoma"/>
            <family val="2"/>
          </rPr>
          <t xml:space="preserve"> 
1. T1 INVESTOINTISUUN-taulukosta. Sijoita oikealle kuukaudelle.</t>
        </r>
      </text>
    </comment>
    <comment ref="R62" authorId="0" shapeId="0" xr:uid="{C7F07BCB-4B9D-42D7-B431-B45750E89AC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<sst xmlns="http://schemas.openxmlformats.org/spreadsheetml/2006/main" count="1702" uniqueCount="685">
  <si>
    <t>Jos kuvat eivät lataudu niin pyöräytä hiiren rullaa tai paina F1</t>
  </si>
  <si>
    <t>Palvelun tarjoavat</t>
  </si>
  <si>
    <t>Iisalmi, Lapinlahti, Sonkajärvi, Vieremä</t>
  </si>
  <si>
    <t xml:space="preserve"> </t>
  </si>
  <si>
    <t xml:space="preserve">   </t>
  </si>
  <si>
    <t>YT6 Aloittavan yrityksen tulossuunnitelma</t>
  </si>
  <si>
    <t>Päivitys 20.4.2023</t>
  </si>
  <si>
    <t xml:space="preserve">  T1  INVESTOINTISUUNNITELMA</t>
  </si>
  <si>
    <t>Päivämäärä</t>
  </si>
  <si>
    <t>T1  INVESTOINTISUUNNITELMA</t>
  </si>
  <si>
    <t xml:space="preserve"> Yritys</t>
  </si>
  <si>
    <t xml:space="preserve"> Sähköpostiosoite</t>
  </si>
  <si>
    <t xml:space="preserve"> Muistiinpanoja (aluetta voidaan käyttää normaalin Excelin tavoin):</t>
  </si>
  <si>
    <t xml:space="preserve"> Laatija</t>
  </si>
  <si>
    <t xml:space="preserve"> Puhelinnumero</t>
  </si>
  <si>
    <t xml:space="preserve"> Hanke</t>
  </si>
  <si>
    <t xml:space="preserve"> Aloittamisajankohta</t>
  </si>
  <si>
    <t xml:space="preserve"> Arvioitu valmistuminen</t>
  </si>
  <si>
    <r>
      <t xml:space="preserve"> PÄÄOMANTARVE </t>
    </r>
    <r>
      <rPr>
        <sz val="11"/>
        <color theme="0"/>
        <rFont val="Arial"/>
        <family val="2"/>
      </rPr>
      <t>(euroa)</t>
    </r>
  </si>
  <si>
    <t>Ennuste 1</t>
  </si>
  <si>
    <t>Ennuste 2</t>
  </si>
  <si>
    <t>Ennuste 3</t>
  </si>
  <si>
    <t>Ennuste 4</t>
  </si>
  <si>
    <t>Yhteensä</t>
  </si>
  <si>
    <t>1.</t>
  </si>
  <si>
    <t xml:space="preserve"> Maa-alueet ja vesialueet, liittymät yms.</t>
  </si>
  <si>
    <r>
      <t xml:space="preserve"> -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</si>
  <si>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 xml:space="preserve"> - avustus-%</t>
  </si>
  <si>
    <t>2.</t>
  </si>
  <si>
    <t xml:space="preserve"> Uudisrakennukset ja rakennelmat sis. alv </t>
  </si>
  <si>
    <r>
      <t xml:space="preserve"> - pinta-ala / tilavuus (m</t>
    </r>
    <r>
      <rPr>
        <vertAlign val="superscript"/>
        <sz val="9"/>
        <rFont val="Arial"/>
        <family val="2"/>
      </rPr>
      <t xml:space="preserve">2 </t>
    </r>
    <r>
      <rPr>
        <sz val="9"/>
        <rFont val="Arial"/>
        <family val="2"/>
      </rPr>
      <t>/ 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)</t>
    </r>
  </si>
  <si>
    <t xml:space="preserve"> - arvonlisävero-%</t>
  </si>
  <si>
    <t>3.</t>
  </si>
  <si>
    <t xml:space="preserve"> Kiinteistöt ja rakennukset</t>
  </si>
  <si>
    <t>4.</t>
  </si>
  <si>
    <t xml:space="preserve"> Koneet ja kalusto sis. alv </t>
  </si>
  <si>
    <t>5.</t>
  </si>
  <si>
    <t xml:space="preserve"> Koneet ja kalusto alv 0 %</t>
  </si>
  <si>
    <t>6.</t>
  </si>
  <si>
    <t xml:space="preserve"> Muut aineelliset hyödykkeet sis. alv</t>
  </si>
  <si>
    <t>7.</t>
  </si>
  <si>
    <t xml:space="preserve"> Aineettomat hyödykkeet</t>
  </si>
  <si>
    <t>8.</t>
  </si>
  <si>
    <t xml:space="preserve"> Sijoitukset</t>
  </si>
  <si>
    <t>9.</t>
  </si>
  <si>
    <t xml:space="preserve"> Käyttöpääoman lisäys</t>
  </si>
  <si>
    <t>10.</t>
  </si>
  <si>
    <t xml:space="preserve"> Pääomantarve yhteensä</t>
  </si>
  <si>
    <r>
      <t xml:space="preserve"> RAHOITUS </t>
    </r>
    <r>
      <rPr>
        <sz val="11"/>
        <color theme="0"/>
        <rFont val="Arial"/>
        <family val="2"/>
      </rPr>
      <t>(euroa)</t>
    </r>
  </si>
  <si>
    <t xml:space="preserve"> OMA RAHOITUS</t>
  </si>
  <si>
    <t>11.</t>
  </si>
  <si>
    <t xml:space="preserve"> Omistajien sijoitukset</t>
  </si>
  <si>
    <t xml:space="preserve"> Osakepääoma</t>
  </si>
  <si>
    <t xml:space="preserve"> Sijoitus SVOP-rahastoon</t>
  </si>
  <si>
    <t>12.</t>
  </si>
  <si>
    <t xml:space="preserve"> Tulorahoitus</t>
  </si>
  <si>
    <t>13.</t>
  </si>
  <si>
    <t xml:space="preserve"> Pääomalaina</t>
  </si>
  <si>
    <t>14.</t>
  </si>
  <si>
    <t xml:space="preserve"> Muu oma rahoitus</t>
  </si>
  <si>
    <t xml:space="preserve"> VIERAS RAHOITUS</t>
  </si>
  <si>
    <t>Lainaehdot</t>
  </si>
  <si>
    <t>Korko-%</t>
  </si>
  <si>
    <t>Maksuaika</t>
  </si>
  <si>
    <t xml:space="preserve"> Vakuus</t>
  </si>
  <si>
    <t xml:space="preserve"> Luotonantaja</t>
  </si>
  <si>
    <t>15.</t>
  </si>
  <si>
    <t xml:space="preserve">Finnvera </t>
  </si>
  <si>
    <t>16.</t>
  </si>
  <si>
    <t>Pankki</t>
  </si>
  <si>
    <t>Osamaksu</t>
  </si>
  <si>
    <t>17.</t>
  </si>
  <si>
    <t>Osamaksurahoitus, eläkelaina tms.</t>
  </si>
  <si>
    <t>Eläkevakuutuslaina</t>
  </si>
  <si>
    <t>18.</t>
  </si>
  <si>
    <t xml:space="preserve">Leasingrahoitus kohta 4. Koneet ja kalusto sis. alv </t>
  </si>
  <si>
    <t>19.</t>
  </si>
  <si>
    <t>Leasingrahoitus kohta 5. Koneet ja kalusto alv 0 %</t>
  </si>
  <si>
    <t>20.</t>
  </si>
  <si>
    <t>Arvonlisäverovähennys</t>
  </si>
  <si>
    <t>21.</t>
  </si>
  <si>
    <t xml:space="preserve">Avustukset (kohtiin 1 - 7) </t>
  </si>
  <si>
    <t>22.</t>
  </si>
  <si>
    <t>Rahoitus yhteensä</t>
  </si>
  <si>
    <t>23.</t>
  </si>
  <si>
    <t>Investoinnin aikaansaama liikevaihdon lisäys/vuosi</t>
  </si>
  <si>
    <t>Yritystulkki YT6 Aloittavan yrityksen tulossuunnitelma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</si>
  <si>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</si>
  <si>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</si>
  <si>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</si>
  <si>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 xml:space="preserve">               </t>
  </si>
  <si>
    <t>Maksuehto</t>
  </si>
  <si>
    <t>Myyntisaamiset edel. Tilik</t>
  </si>
  <si>
    <t>&lt;31 pv</t>
  </si>
  <si>
    <t>Maksuehto  &lt; 30 pv</t>
  </si>
  <si>
    <t>31 - 60 pv</t>
  </si>
  <si>
    <t>Maksuehto 31 - 60 pv</t>
  </si>
  <si>
    <t>61 - 90 pv</t>
  </si>
  <si>
    <t>Maksuehto 61 - 90 pv</t>
  </si>
  <si>
    <t>91 - 120 pv</t>
  </si>
  <si>
    <t>Maksuehto 91 - 120 pv</t>
  </si>
  <si>
    <t>121 - 150 pv</t>
  </si>
  <si>
    <t>Maksuehto 121 - 150 pv</t>
  </si>
  <si>
    <t>150  - 180 pv</t>
  </si>
  <si>
    <t>Maksuehto 151 - 180 pv</t>
  </si>
  <si>
    <t>Myynti kaudella</t>
  </si>
  <si>
    <t>Kassaan 1. kk</t>
  </si>
  <si>
    <t>Kassaan 2. kk</t>
  </si>
  <si>
    <t>Kassaan 3. kk</t>
  </si>
  <si>
    <t>Kassaan 4. kk</t>
  </si>
  <si>
    <t>Kassaan 5. kk</t>
  </si>
  <si>
    <t>Kassaan 6. kk</t>
  </si>
  <si>
    <t>Kassaan 7. kk</t>
  </si>
  <si>
    <t>Maksut tilille myynneistä</t>
  </si>
  <si>
    <t>Kassaa 1. kk + myyntisaatavat</t>
  </si>
  <si>
    <t>Maksut yhteensä</t>
  </si>
  <si>
    <t xml:space="preserve">  T7 LAINAT</t>
  </si>
  <si>
    <t>Euroa</t>
  </si>
  <si>
    <t>PITKÄAIKAISET LAINAT</t>
  </si>
  <si>
    <t>Laina-määrä (euroa)</t>
  </si>
  <si>
    <r>
      <rPr>
        <b/>
        <sz val="9"/>
        <color theme="0"/>
        <rFont val="Arial"/>
        <family val="2"/>
      </rPr>
      <t xml:space="preserve">  Laina-aika</t>
    </r>
    <r>
      <rPr>
        <sz val="9"/>
        <color theme="0"/>
        <rFont val="Arial"/>
        <family val="2"/>
      </rPr>
      <t xml:space="preserve"> (vuotta)</t>
    </r>
  </si>
  <si>
    <t xml:space="preserve"> VUOSITTAIN MAKSETTAVAT LYHENNYKSET JA KOROT</t>
  </si>
  <si>
    <t xml:space="preserve"> (ei pääomalainoja)</t>
  </si>
  <si>
    <t xml:space="preserve"> 1. vuonna nostettavat lainat</t>
  </si>
  <si>
    <t>Nosto €</t>
  </si>
  <si>
    <t>Lyhennys €</t>
  </si>
  <si>
    <t>Korko €</t>
  </si>
  <si>
    <t xml:space="preserve"> Laina, 1. ennustevuosi</t>
  </si>
  <si>
    <t xml:space="preserve"> 2. vuonna nostettavat lainat</t>
  </si>
  <si>
    <t xml:space="preserve"> 3. vuonna nostettavat lainat</t>
  </si>
  <si>
    <t xml:space="preserve"> 4. vuonna nostettavat lainat</t>
  </si>
  <si>
    <t xml:space="preserve"> Lainat yhteensä</t>
  </si>
  <si>
    <t xml:space="preserve"> Osamaksuvelka, 1. ennustevuosi </t>
  </si>
  <si>
    <t xml:space="preserve"> Osamaksuvelat yhteensä</t>
  </si>
  <si>
    <t xml:space="preserve"> Lyhytaikaiset lainat</t>
  </si>
  <si>
    <t xml:space="preserve"> Pääomalainat</t>
  </si>
  <si>
    <t xml:space="preserve"> Pitkäaikaiset velat, ei velkakirjaa</t>
  </si>
  <si>
    <t xml:space="preserve"> Lainojen toimitusmaksut, takausmaksut</t>
  </si>
  <si>
    <t xml:space="preserve"> KAIKKI YHTEENSÄ</t>
  </si>
  <si>
    <t>E1  TOIMINTAKUSTANNUKSET</t>
  </si>
  <si>
    <t xml:space="preserve">Muistiinpanoja </t>
  </si>
  <si>
    <t>Terveys- ja sosiaalipalvelut, rahoitus- ja vakuutuspalvelut, yrityksen vuosiliikevaihto alle 15 000 € verollisin hinnoin</t>
  </si>
  <si>
    <t>%</t>
  </si>
  <si>
    <t>Tilikauden pituus (kuukautta)</t>
  </si>
  <si>
    <t>PALKAT JA PALKKIOT</t>
  </si>
  <si>
    <t>1.1 YEL-yrittäjät</t>
  </si>
  <si>
    <t xml:space="preserve"> - YEL-yrittäjien kuukausipalkat brutto</t>
  </si>
  <si>
    <t xml:space="preserve"> - YEL-yrittäjien luontoisedut / kk</t>
  </si>
  <si>
    <t xml:space="preserve"> - palkanmaksukuukaudet</t>
  </si>
  <si>
    <t xml:space="preserve"> - YEL-yrittäjien keskimääräinen veronpidätys-%</t>
  </si>
  <si>
    <t>1.2 Tuntipalkkaiset työntekijät / TyEL-yrittäjät</t>
  </si>
  <si>
    <t xml:space="preserve"> - työntekijöiden keskituntipalkka / kk / henkilö</t>
  </si>
  <si>
    <t xml:space="preserve"> - työtunnit / kk / henkilö</t>
  </si>
  <si>
    <t xml:space="preserve"> - työntekijöiden lukumäärä</t>
  </si>
  <si>
    <t xml:space="preserve"> - luontoisedut yhteensä vuodessa</t>
  </si>
  <si>
    <t xml:space="preserve"> - palkansaajaryhmän 1.2 keskim. veronpidätys-%</t>
  </si>
  <si>
    <t>1.3 Toimihenkilöt / TyEL-yrittäjät</t>
  </si>
  <si>
    <t xml:space="preserve"> - toimihenkilöiden palkat keskimäärin / kk / henkilö</t>
  </si>
  <si>
    <t xml:space="preserve"> - toimihenkilöiden lukumäärä</t>
  </si>
  <si>
    <t xml:space="preserve"> - palkansaajaryhmän 1.3 keskim. veronpidätys-%</t>
  </si>
  <si>
    <t>1.4 Saadut vakuutusmaksukorvaukset</t>
  </si>
  <si>
    <t>HENKILÖSTÖSIVUKULUT</t>
  </si>
  <si>
    <t xml:space="preserve"> 2.1 Eläkekulut</t>
  </si>
  <si>
    <t xml:space="preserve"> - Yrityksen osuus TyEL-vakuutusmaksusta </t>
  </si>
  <si>
    <t xml:space="preserve"> - Yrityksen TyEL-vakuutusmaksut</t>
  </si>
  <si>
    <t xml:space="preserve"> - YEL-maksujen työtulo kohdan 1 palkat</t>
  </si>
  <si>
    <t xml:space="preserve"> - YEL-vakuutusmaksuprosentti</t>
  </si>
  <si>
    <t xml:space="preserve"> - YEL-vakuutusmaksut</t>
  </si>
  <si>
    <t xml:space="preserve">                    </t>
  </si>
  <si>
    <t xml:space="preserve"> - vapaaehtoiset eläkevakuutusmaksut</t>
  </si>
  <si>
    <t>2.2 Muut henkilösivukulut</t>
  </si>
  <si>
    <t xml:space="preserve"> - Työntekijän sotu- ja muut pakoll. vakuutusmaksut</t>
  </si>
  <si>
    <t xml:space="preserve">2.3 YEL-yrittäjän sosiaalivakuutusmaksut </t>
  </si>
  <si>
    <t>2.4 YEL-yrittäjän henkivakuutusmaksu</t>
  </si>
  <si>
    <t>2.5 Muut henkilövakuutusmaksut</t>
  </si>
  <si>
    <t>HENKILÖSTÖKULUT YHTEENSÄ</t>
  </si>
  <si>
    <t>LIIKETOIMINNAN MUUT KULUT</t>
  </si>
  <si>
    <t>3.1 Muut henkilöstökulut</t>
  </si>
  <si>
    <t xml:space="preserve"> - henkilökunnan koulutus</t>
  </si>
  <si>
    <t xml:space="preserve"> - virkistys- ja harrastustoiminta</t>
  </si>
  <si>
    <t xml:space="preserve"> - työterveyshuolto</t>
  </si>
  <si>
    <t xml:space="preserve"> - työvaatteet ja suojavälineet</t>
  </si>
  <si>
    <t xml:space="preserve"> - muut vapaaehtoiset henkilöstökulut</t>
  </si>
  <si>
    <t xml:space="preserve">3.2 Toimitilakustannukset </t>
  </si>
  <si>
    <t xml:space="preserve"> - vuokrat ja vastikkeet (liiketoimintaan)</t>
  </si>
  <si>
    <t xml:space="preserve"> - vuokra/vastike kuukaudessa euroa</t>
  </si>
  <si>
    <t xml:space="preserve"> - maksukuukaudet tilikaudessa</t>
  </si>
  <si>
    <t xml:space="preserve"> - sähkö ja kaasu </t>
  </si>
  <si>
    <t xml:space="preserve"> - vesi ja jätevesi</t>
  </si>
  <si>
    <t xml:space="preserve"> - lämmitys</t>
  </si>
  <si>
    <t xml:space="preserve"> - puhtaanapito, ulkoalueiden hoito</t>
  </si>
  <si>
    <t xml:space="preserve"> - toimitilojen korjaus</t>
  </si>
  <si>
    <t xml:space="preserve"> - jätehuolto</t>
  </si>
  <si>
    <t xml:space="preserve"> - vartiointi, lukituspalvelut, muut kulut</t>
  </si>
  <si>
    <t xml:space="preserve"> - kiinteistöjen ja irtaimiston palovakuutusarvo</t>
  </si>
  <si>
    <t xml:space="preserve"> - kiinteistövero</t>
  </si>
  <si>
    <t>3.3. Kone- ja työajoneuvoleasing sis. alv</t>
  </si>
  <si>
    <t xml:space="preserve"> - maksukuukaudet kaudella</t>
  </si>
  <si>
    <t xml:space="preserve"> - leasingsopimukset yhteensä, euroa</t>
  </si>
  <si>
    <t xml:space="preserve"> - leasingsopimusten kestoaika (kuukautta)</t>
  </si>
  <si>
    <t xml:space="preserve"> - rahoituksen korko-%</t>
  </si>
  <si>
    <t xml:space="preserve"> - jäännösarvo-% sopimuksen päättyessä</t>
  </si>
  <si>
    <t>3.4. Atk-laite ja -ohjelmakulut</t>
  </si>
  <si>
    <t xml:space="preserve"> - laite- ja ohjelmavuokrat</t>
  </si>
  <si>
    <t xml:space="preserve"> - ohjelmat, päivitykset ja ylläpito</t>
  </si>
  <si>
    <t xml:space="preserve"> - atk-laitehankinnat käyttöaika alle 3 vuotta </t>
  </si>
  <si>
    <t xml:space="preserve"> - muut atk-kulut</t>
  </si>
  <si>
    <t>3.5 Työkonekulut, liikekäyttö</t>
  </si>
  <si>
    <t xml:space="preserve"> - muut kaluston vuokrakulut</t>
  </si>
  <si>
    <t xml:space="preserve"> - polttoaine</t>
  </si>
  <si>
    <t xml:space="preserve"> - huolto ja korjaus</t>
  </si>
  <si>
    <t xml:space="preserve"> - vakuutukset ja käyttömaksut</t>
  </si>
  <si>
    <t xml:space="preserve"> - muut konekulut</t>
  </si>
  <si>
    <t>3.6 Muut kone- ja laitekulut, liikekäyttö</t>
  </si>
  <si>
    <t xml:space="preserve"> - pien- ja laitehankinnat käyttöikä alle 3 vuotta</t>
  </si>
  <si>
    <t xml:space="preserve"> - muut kone- ja kalustokulut</t>
  </si>
  <si>
    <t>3.7 Matkakulut</t>
  </si>
  <si>
    <t xml:space="preserve"> - matkaliput ja majoituskulut</t>
  </si>
  <si>
    <t xml:space="preserve"> - ruokailu matkalla</t>
  </si>
  <si>
    <t xml:space="preserve"> - muut matkakulut</t>
  </si>
  <si>
    <t>3.8 Matkakustannusten korvaukset</t>
  </si>
  <si>
    <t xml:space="preserve"> - päivärahat, ateriakorvaukset yms.</t>
  </si>
  <si>
    <t xml:space="preserve"> - kilometrikorvaukset</t>
  </si>
  <si>
    <t>3.9 Edustuskulut</t>
  </si>
  <si>
    <r>
      <t xml:space="preserve">3.10 Myyntikulut </t>
    </r>
    <r>
      <rPr>
        <sz val="9"/>
        <rFont val="Arial"/>
        <family val="2"/>
      </rPr>
      <t>(mm. palkkiot, provisiot)</t>
    </r>
  </si>
  <si>
    <t>3.11 Markkinointikulut</t>
  </si>
  <si>
    <t xml:space="preserve"> - mainostoimistopalvelut</t>
  </si>
  <si>
    <t xml:space="preserve"> - suora- ja ilmoitusmainonta</t>
  </si>
  <si>
    <t xml:space="preserve"> - TV-, radio- ja internetmainonta</t>
  </si>
  <si>
    <t xml:space="preserve"> - messut, näyttelyt yms. myynninedistäminen</t>
  </si>
  <si>
    <t xml:space="preserve"> - muut markkinointikulut</t>
  </si>
  <si>
    <t xml:space="preserve">3.12 Tutkimus- ja tuotekehityskulut </t>
  </si>
  <si>
    <t xml:space="preserve"> - tuotekehitys- ja testauspalvelut</t>
  </si>
  <si>
    <t xml:space="preserve"> - tavaramerkit, patentit yms.</t>
  </si>
  <si>
    <t xml:space="preserve"> - sertifiointi ja laatutodistukset</t>
  </si>
  <si>
    <t xml:space="preserve"> - muut kehityskulut</t>
  </si>
  <si>
    <t xml:space="preserve">3.13 Hallintopalvelut </t>
  </si>
  <si>
    <t xml:space="preserve"> - vuokratyövoima</t>
  </si>
  <si>
    <t xml:space="preserve"> - taloushallintopalvelut, tilintarkastus</t>
  </si>
  <si>
    <t xml:space="preserve"> - laki-ja konsultointipalvelut, viranomaismaksut/-luvat</t>
  </si>
  <si>
    <t xml:space="preserve"> - muut hallintokulut ja maksut</t>
  </si>
  <si>
    <t xml:space="preserve">3.14 Tiedonhankinta </t>
  </si>
  <si>
    <t xml:space="preserve"> - kirjat, lehdet</t>
  </si>
  <si>
    <t xml:space="preserve"> - jäsenmaksut</t>
  </si>
  <si>
    <t>3.15 Tieto- ja rahaliikenne</t>
  </si>
  <si>
    <t xml:space="preserve"> - puhelin ja internet</t>
  </si>
  <si>
    <t xml:space="preserve"> - datasiirtokulut</t>
  </si>
  <si>
    <t xml:space="preserve"> - posti- ja lähettikulut</t>
  </si>
  <si>
    <t xml:space="preserve"> - rahaliikenteen kulut</t>
  </si>
  <si>
    <t xml:space="preserve">3.16 Vakuutukset  </t>
  </si>
  <si>
    <t xml:space="preserve"> - vastuuvakuutukset</t>
  </si>
  <si>
    <t xml:space="preserve"> - esinevakuutukset, konerikko yms.</t>
  </si>
  <si>
    <t xml:space="preserve"> - muut vakuutukset, keskeytysvakuutus</t>
  </si>
  <si>
    <t>3.17 Toimistotarvikkeet</t>
  </si>
  <si>
    <t>3.18 Kokous- ja neuvottelukulut</t>
  </si>
  <si>
    <t>3.19 Muut hallintokulut</t>
  </si>
  <si>
    <t>3.20 Ajoneuvo- ja konekulut, yksityiskäyttö</t>
  </si>
  <si>
    <t>3.21 Leasingkulut investoinnit alv 0 %</t>
  </si>
  <si>
    <t>3.22 Ulkopuoliset palvelut alv 24 %</t>
  </si>
  <si>
    <t>3.23 Vuokrat, vastikkeet, hoitokulut alv 0 %</t>
  </si>
  <si>
    <t xml:space="preserve">Muut kulut alv 0 % </t>
  </si>
  <si>
    <t>YHTEENSÄ</t>
  </si>
  <si>
    <t>E2  LIIKEVAIHDON MUODOSTUMINEN</t>
  </si>
  <si>
    <t>HINNAT ILMAN ARVONLISÄVEROA</t>
  </si>
  <si>
    <t>Alv-%</t>
  </si>
  <si>
    <t>Vuosimuutos-%</t>
  </si>
  <si>
    <t>Tuote/palvelu</t>
  </si>
  <si>
    <t>Liikevaihto</t>
  </si>
  <si>
    <t>€</t>
  </si>
  <si>
    <t xml:space="preserve"> - myynti/suoritemäärä yksikköä</t>
  </si>
  <si>
    <t xml:space="preserve"> - myyntihinta / yksikkö</t>
  </si>
  <si>
    <t xml:space="preserve"> - ainekäytön/hankintojen osuus-%</t>
  </si>
  <si>
    <t xml:space="preserve">  </t>
  </si>
  <si>
    <t xml:space="preserve"> - ainekäyttö/hankinnat</t>
  </si>
  <si>
    <t>LIIKEVAIHTO</t>
  </si>
  <si>
    <t>AINEKÄYTTÖ</t>
  </si>
  <si>
    <t>AINEKÄYTTÖ-%</t>
  </si>
  <si>
    <t>MYYNNIN ARVONLISÄVERO</t>
  </si>
  <si>
    <t>OSTOJEN ARVONLISÄVERO</t>
  </si>
  <si>
    <t>ALV-PALAUTUS  JA AVUSTUS</t>
  </si>
  <si>
    <t>Tot.</t>
  </si>
  <si>
    <t xml:space="preserve">1. VUOSI </t>
  </si>
  <si>
    <t xml:space="preserve">2. VUOSI </t>
  </si>
  <si>
    <t xml:space="preserve">3. VUOSI </t>
  </si>
  <si>
    <t>4. VUOSI</t>
  </si>
  <si>
    <t>ALV-TILITYS KASSABUDJETISSA</t>
  </si>
  <si>
    <t>ALV-%</t>
  </si>
  <si>
    <t xml:space="preserve"> - Alv:n osuus</t>
  </si>
  <si>
    <t xml:space="preserve"> - avustuksen määrä</t>
  </si>
  <si>
    <t xml:space="preserve"> - arvon avustuksen jälkeen alv 0</t>
  </si>
  <si>
    <t>MYYNTIEN ALV YHTEENSÄ</t>
  </si>
  <si>
    <t xml:space="preserve"> - Veroton hinta</t>
  </si>
  <si>
    <t xml:space="preserve"> - Alv:n määrä</t>
  </si>
  <si>
    <t>Vähennetään leasingrahoitus T1:stä</t>
  </si>
  <si>
    <t xml:space="preserve"> - Poistettava kalusto sis. alv</t>
  </si>
  <si>
    <t>OSTOJEN ALV:N MÄÄRÄ</t>
  </si>
  <si>
    <t>ALV-TILITYS KOHDEKUUKAUDELTÄ</t>
  </si>
  <si>
    <t xml:space="preserve"> - Poistettava kalusto </t>
  </si>
  <si>
    <t>Investonnit yhteensä</t>
  </si>
  <si>
    <t>ALV-palautukset yhteensä</t>
  </si>
  <si>
    <t>Avustukset yhteensä</t>
  </si>
  <si>
    <t>Ennuste 5</t>
  </si>
  <si>
    <t>Laina-</t>
  </si>
  <si>
    <t>VANHAT LAINAT</t>
  </si>
  <si>
    <t>Määrä</t>
  </si>
  <si>
    <t>aika'</t>
  </si>
  <si>
    <t>Korko</t>
  </si>
  <si>
    <t>Nosto</t>
  </si>
  <si>
    <t>aika</t>
  </si>
  <si>
    <t>Lyhen.</t>
  </si>
  <si>
    <t>PO ka.</t>
  </si>
  <si>
    <t>PO loppu</t>
  </si>
  <si>
    <t>UUDET LAINAT</t>
  </si>
  <si>
    <t>Uudet lainat yhteensä</t>
  </si>
  <si>
    <t>UUDET OSAMAKSUVELAT</t>
  </si>
  <si>
    <t>Lyhennys</t>
  </si>
  <si>
    <t>Uudet osamaksuvelat 1</t>
  </si>
  <si>
    <t>Ensimmäinen kausi</t>
  </si>
  <si>
    <t>Viimeinen kausi</t>
  </si>
  <si>
    <t>Uudet osamaksuvelat 2</t>
  </si>
  <si>
    <t>Uudet osamaksuvelat 3</t>
  </si>
  <si>
    <t>Uudet osamaksuvelat 4</t>
  </si>
  <si>
    <t>Osamaksuvelat yhteensä</t>
  </si>
  <si>
    <t>OSAMAKSUVELAT TASEESSA KO. VUONNA</t>
  </si>
  <si>
    <t>kaudella</t>
  </si>
  <si>
    <t>Lyhytaik.</t>
  </si>
  <si>
    <t>Pitkäaik.</t>
  </si>
  <si>
    <t>Vanhat osamaksuvelat</t>
  </si>
  <si>
    <t>Liiketoiminnan muut kulut, erittely</t>
  </si>
  <si>
    <t xml:space="preserve"> - ALV-vähennyskelpoiset kulut</t>
  </si>
  <si>
    <t xml:space="preserve"> - ALV 0 % - kulut ilman vuokrat alv 0 %(E1 rivi 126)</t>
  </si>
  <si>
    <t xml:space="preserve"> - T5 U35 = ALV-kulut -( vuokrat Alv 0% (E1F50)- leasing (E1 rivi 62)+F73)</t>
  </si>
  <si>
    <t>Kuluerittelyjä tasetta varten</t>
  </si>
  <si>
    <t>Tot. tilikausi</t>
  </si>
  <si>
    <t>Ennuste  1</t>
  </si>
  <si>
    <t>Vakuutusmaksut siirtosaatavia varten</t>
  </si>
  <si>
    <t>Arvonlisäverolliset ostot</t>
  </si>
  <si>
    <t>T4 RAHOITUSSUUNNITELMA</t>
  </si>
  <si>
    <t>TUNNUSLUKUJA TALOUDESTA</t>
  </si>
  <si>
    <t xml:space="preserve"> RAHAN LÄHTEET JA RAHAN KÄYTTÖ</t>
  </si>
  <si>
    <t xml:space="preserve"> LIIKETOIMINNAN LAAJUUS</t>
  </si>
  <si>
    <t xml:space="preserve"> RAHAN LÄHTEET</t>
  </si>
  <si>
    <t xml:space="preserve"> Liikevaihto</t>
  </si>
  <si>
    <t xml:space="preserve"> Liikevaihto/henkilö</t>
  </si>
  <si>
    <t>Rahoitustulos</t>
  </si>
  <si>
    <t>+</t>
  </si>
  <si>
    <t xml:space="preserve"> Henkilöstö</t>
  </si>
  <si>
    <t>Omistajien sijoitukset</t>
  </si>
  <si>
    <t xml:space="preserve"> Sijoitettu pääoma</t>
  </si>
  <si>
    <t>Pitkäaikaisten lainojen lisäys</t>
  </si>
  <si>
    <t xml:space="preserve"> LIIKETOIMINNAN KANNATTAVUUS</t>
  </si>
  <si>
    <t>Osamaksuvelkojen lisäys</t>
  </si>
  <si>
    <t xml:space="preserve"> Käyttökate</t>
  </si>
  <si>
    <t>Lyhytaikaisten lainojen lisäys</t>
  </si>
  <si>
    <t xml:space="preserve"> Käyttökate-%</t>
  </si>
  <si>
    <t>ELYn avustus, pääomalainan lisäys, sijoitusten tuloutus ja omaisuuden myyntitulot</t>
  </si>
  <si>
    <t xml:space="preserve"> Liiketulos (EBIT)</t>
  </si>
  <si>
    <t xml:space="preserve"> Liiketulos-%</t>
  </si>
  <si>
    <t>Arvosana</t>
  </si>
  <si>
    <t xml:space="preserve"> RAHAN KÄYTTÖ</t>
  </si>
  <si>
    <t xml:space="preserve"> Tilikauden voitto</t>
  </si>
  <si>
    <t>Maa-alueet</t>
  </si>
  <si>
    <t xml:space="preserve"> Tilikauden voitto-%</t>
  </si>
  <si>
    <t>Rakennukset ja rakennelmat</t>
  </si>
  <si>
    <t xml:space="preserve"> Sijoitetun pääoman tuotto (ROI)</t>
  </si>
  <si>
    <t>Koneet ja kalusto</t>
  </si>
  <si>
    <t xml:space="preserve"> MAKSUVALMIUS</t>
  </si>
  <si>
    <t>Muut investoinnit</t>
  </si>
  <si>
    <t xml:space="preserve"> Quick ratio</t>
  </si>
  <si>
    <t>Käyttöpääoman muutos (rivi 36)</t>
  </si>
  <si>
    <t>+/-</t>
  </si>
  <si>
    <t>Muu rahoitusomaisuuden lisäys</t>
  </si>
  <si>
    <t xml:space="preserve"> Current ratio</t>
  </si>
  <si>
    <t>Pitkäaikaisten rahalaitoslainojen vähennys</t>
  </si>
  <si>
    <t>SVOP-palautus</t>
  </si>
  <si>
    <t xml:space="preserve"> Vieraan pääoman takaisinmakuaika (vuotta)</t>
  </si>
  <si>
    <t>Pääomalainojen vähennys</t>
  </si>
  <si>
    <t xml:space="preserve"> Lainojen hoitokate</t>
  </si>
  <si>
    <t>Pitkäaikainen ostovelka, vähennys</t>
  </si>
  <si>
    <t>Muut pitkäaikaiset velat, vähennys</t>
  </si>
  <si>
    <t xml:space="preserve"> VAKAVARAISUUS</t>
  </si>
  <si>
    <t>Pitkäaik. lainojen lyhennyserämuutokset</t>
  </si>
  <si>
    <t xml:space="preserve"> Omavaraisuusaste</t>
  </si>
  <si>
    <t>Osamaksuvelkojen vähennys</t>
  </si>
  <si>
    <t xml:space="preserve">Muu lyhytaik. vieraan po:n lisäys/vähennys     </t>
  </si>
  <si>
    <t xml:space="preserve"> Net gearing (nettovelkaantumisaste)</t>
  </si>
  <si>
    <t>Lyhytaikaisten lainojen vähennys</t>
  </si>
  <si>
    <t>Osingonjako ja yksityiskäyttö</t>
  </si>
  <si>
    <t xml:space="preserve"> MUITA TUNNUSLUKUJA</t>
  </si>
  <si>
    <t>24.</t>
  </si>
  <si>
    <t>Sijoitukset</t>
  </si>
  <si>
    <t xml:space="preserve"> Pakolliset henkilöstökulut / henkilö</t>
  </si>
  <si>
    <t>25.</t>
  </si>
  <si>
    <t xml:space="preserve"> Kaikki henkilöstökulut / henkilö</t>
  </si>
  <si>
    <t>26.</t>
  </si>
  <si>
    <t>Yli- / alijäämä (7 - 25)</t>
  </si>
  <si>
    <t xml:space="preserve"> NETTOVARALLISUUSLASKELMA</t>
  </si>
  <si>
    <t>27.</t>
  </si>
  <si>
    <t>Kumulatiivinen yli-/alijäämä</t>
  </si>
  <si>
    <t xml:space="preserve"> Varat</t>
  </si>
  <si>
    <t xml:space="preserve"> - Velat </t>
  </si>
  <si>
    <t xml:space="preserve"> KÄYTTÖPÄÄOMA</t>
  </si>
  <si>
    <t xml:space="preserve"> - Pankkitili</t>
  </si>
  <si>
    <t xml:space="preserve"> - Asunto</t>
  </si>
  <si>
    <t>28.</t>
  </si>
  <si>
    <t>Vaihto-omaisuus</t>
  </si>
  <si>
    <t xml:space="preserve"> Nettovarallisuus</t>
  </si>
  <si>
    <t>Vaihto-omaisuus/liikevaihto (%)</t>
  </si>
  <si>
    <t xml:space="preserve"> Osinko nettovarallisuudelle tai yksityisotot</t>
  </si>
  <si>
    <t>29.</t>
  </si>
  <si>
    <t>Myyntisaamiset</t>
  </si>
  <si>
    <t xml:space="preserve"> Osingon/yksityisoton osuus nettovarallisuudesta</t>
  </si>
  <si>
    <t>Myyntisaamisten kiertonopeus (pv)</t>
  </si>
  <si>
    <t>30.</t>
  </si>
  <si>
    <t>Muut saamiset</t>
  </si>
  <si>
    <t>31.</t>
  </si>
  <si>
    <t>Siirtosaamiset</t>
  </si>
  <si>
    <t>32.</t>
  </si>
  <si>
    <t>Osatuloutuksen saamiset</t>
  </si>
  <si>
    <t>Osatuloutukset, osuus liikevaihdosta (%)</t>
  </si>
  <si>
    <t>33.</t>
  </si>
  <si>
    <t>Ostovelat</t>
  </si>
  <si>
    <t>-</t>
  </si>
  <si>
    <t>Ostovelkojen kiertonopeus (pv)</t>
  </si>
  <si>
    <t>34.</t>
  </si>
  <si>
    <t>Saadut ennakot</t>
  </si>
  <si>
    <t xml:space="preserve">Saadut ennakot, osuus liikevaihdosta (%) </t>
  </si>
  <si>
    <t>35.</t>
  </si>
  <si>
    <t xml:space="preserve">Käyttöpääoma </t>
  </si>
  <si>
    <t>=</t>
  </si>
  <si>
    <t>36.</t>
  </si>
  <si>
    <t>Käyttöpääoman muutos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</si>
  <si>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</si>
  <si>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</si>
  <si>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</si>
  <si>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</si>
  <si>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</si>
  <si>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</si>
  <si>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</si>
  <si>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</si>
  <si>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</si>
  <si>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</si>
  <si>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</si>
  <si>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>Korollinen vieras pääoma = Pitkäaikainen vieras pääoma pl. Saadut ennakot+korolliset lyhytaikaiset velat+Muut korolliset sisäiset velat</t>
  </si>
  <si>
    <t xml:space="preserve">Korollinen vieras pääoma = </t>
  </si>
  <si>
    <t>Rahat ja arvopaperit</t>
  </si>
  <si>
    <t xml:space="preserve">  T3 TASE</t>
  </si>
  <si>
    <t xml:space="preserve">T3 TASE </t>
  </si>
  <si>
    <t xml:space="preserve"> Muistiinpanoja</t>
  </si>
  <si>
    <t>VASTAAVAA</t>
  </si>
  <si>
    <t>A.</t>
  </si>
  <si>
    <t>PYSYVÄT VASTAAVAT</t>
  </si>
  <si>
    <t>I</t>
  </si>
  <si>
    <t xml:space="preserve">Aineettomat hyödykkeet </t>
  </si>
  <si>
    <t xml:space="preserve"> - Lisäykset tilikaudella</t>
  </si>
  <si>
    <t>Investointi käytössä kuukausina tilikauden alusta lukien</t>
  </si>
  <si>
    <t xml:space="preserve"> - Vähennykset tilikaudella</t>
  </si>
  <si>
    <t xml:space="preserve"> - Poistot</t>
  </si>
  <si>
    <t>Vuosipoisto</t>
  </si>
  <si>
    <t>II</t>
  </si>
  <si>
    <t xml:space="preserve">Aineelliset hyödykkeet </t>
  </si>
  <si>
    <t>1. Maa- ja vesialueet, liittymät</t>
  </si>
  <si>
    <t xml:space="preserve">2. Rakennukset ja rakennelmat </t>
  </si>
  <si>
    <t xml:space="preserve">3. Koneet ja kalusto </t>
  </si>
  <si>
    <t xml:space="preserve">4. Muut aineelliset hyödykkeet </t>
  </si>
  <si>
    <t>III</t>
  </si>
  <si>
    <t>B.</t>
  </si>
  <si>
    <t>VAIHTUVAT VASTAAVAT</t>
  </si>
  <si>
    <t xml:space="preserve">I </t>
  </si>
  <si>
    <t>Saamiset</t>
  </si>
  <si>
    <t>1. Myyntisaamiset</t>
  </si>
  <si>
    <t>2. Osatuloutuksen saamiset</t>
  </si>
  <si>
    <t>3. Muut saamiset</t>
  </si>
  <si>
    <t>4. Siirtosaamiset</t>
  </si>
  <si>
    <t>Rahoitusarvopaperit</t>
  </si>
  <si>
    <t>IV</t>
  </si>
  <si>
    <t>Rahat ja pankkisaamiset</t>
  </si>
  <si>
    <t>VASTAAVAA YHTEENSÄ</t>
  </si>
  <si>
    <t>VASTATTAVAA</t>
  </si>
  <si>
    <t xml:space="preserve">C. </t>
  </si>
  <si>
    <t>OMA PÄÄOMA</t>
  </si>
  <si>
    <t>1. Osakepääoma tms.</t>
  </si>
  <si>
    <t>2. Edellisten tilikausien voitot</t>
  </si>
  <si>
    <t>3. Osingonjako, yksityisotot</t>
  </si>
  <si>
    <t>4. Tilikauden voitto/tappio</t>
  </si>
  <si>
    <t>5. Sijoitetun vapaan pääoman rahasto</t>
  </si>
  <si>
    <t xml:space="preserve">D. </t>
  </si>
  <si>
    <t>TILINPÄÄTÖSSIIRTOJEN KERTYMÄ</t>
  </si>
  <si>
    <t>1. Poistoeron lisäys/vähennys</t>
  </si>
  <si>
    <t xml:space="preserve"> -/+</t>
  </si>
  <si>
    <t>2. Vapaaehtoiset varaukset</t>
  </si>
  <si>
    <t xml:space="preserve"> - prosenttia maksetuista palkoista</t>
  </si>
  <si>
    <t>E.</t>
  </si>
  <si>
    <t>PAKOLLISET VARAUKSET</t>
  </si>
  <si>
    <t>F.</t>
  </si>
  <si>
    <t>PITKÄAIKAINEN VIERAS PÄÄOMA</t>
  </si>
  <si>
    <t>1. Lainat rahoituslaitoksilta</t>
  </si>
  <si>
    <t>2. Pääomalainat</t>
  </si>
  <si>
    <t>3. Ostovelat</t>
  </si>
  <si>
    <t xml:space="preserve"> - Ostovelat</t>
  </si>
  <si>
    <t xml:space="preserve"> - Osamaksuvelat</t>
  </si>
  <si>
    <t>4. Muut pitkäaikaiset velat</t>
  </si>
  <si>
    <t>G.</t>
  </si>
  <si>
    <t>LYHYTAIKAINEN VIERAS PÄÄOMA</t>
  </si>
  <si>
    <t xml:space="preserve"> - Pitkäaikaisten lainojen lyhennykset</t>
  </si>
  <si>
    <t xml:space="preserve"> - Lyhytaikaiset rahalaitoslainat </t>
  </si>
  <si>
    <t>4. Muut lyhytaikaiset velat</t>
  </si>
  <si>
    <t xml:space="preserve"> - Ennakonpidätysvelka</t>
  </si>
  <si>
    <t xml:space="preserve"> Keskimääräinen veronpidätys-% palkoista</t>
  </si>
  <si>
    <t xml:space="preserve"> - Sosiaaliturvamaksuvelka</t>
  </si>
  <si>
    <t xml:space="preserve"> - Arvonlisäverovelka</t>
  </si>
  <si>
    <t xml:space="preserve"> - Muut lyhytaikaiset velat</t>
  </si>
  <si>
    <t>5. Siirtovelat</t>
  </si>
  <si>
    <t xml:space="preserve"> - Siirtovelat</t>
  </si>
  <si>
    <t xml:space="preserve"> - Lomapalkkavelat</t>
  </si>
  <si>
    <t xml:space="preserve"> - Laskettu eläke- ja sivukuluvelka</t>
  </si>
  <si>
    <t xml:space="preserve"> Eläke- ja sivukuluvelka lomapalkkavelasta (%)</t>
  </si>
  <si>
    <t>6. Saadut ennakot</t>
  </si>
  <si>
    <t>Saadut ennakot, osuus liikevaihdosta (%)</t>
  </si>
  <si>
    <t>VASTATTAVAA YHTEENSÄ</t>
  </si>
  <si>
    <t>T2  TULOSSUUNNITELMA</t>
  </si>
  <si>
    <t>12</t>
  </si>
  <si>
    <t xml:space="preserve"> Liiketoiminnan muut tuotot, vuosimuutos-%</t>
  </si>
  <si>
    <t>Liiketoiminnan muut tuotot</t>
  </si>
  <si>
    <t>Valmistus omaan käyttöön</t>
  </si>
  <si>
    <t>LIIKETOIMINNAN TUOTOT YHTEENSÄ</t>
  </si>
  <si>
    <t>Aineet, tarvikkeet ja tavarat</t>
  </si>
  <si>
    <t>Ulkopuoliset palvelut</t>
  </si>
  <si>
    <t>Henkilöstökulut (sis. lomapalkkavarauksen)</t>
  </si>
  <si>
    <t>Liiketoiminnan muut kulut</t>
  </si>
  <si>
    <t>Valmistevaraston lisäys/vähennys</t>
  </si>
  <si>
    <t xml:space="preserve"> +/-</t>
  </si>
  <si>
    <t>KÄYTTÖKATE</t>
  </si>
  <si>
    <t>Poistot ja arvonalentumiset</t>
  </si>
  <si>
    <t>LIIKETULOS</t>
  </si>
  <si>
    <t>Tuotot osuuksista ja muista sijoituksista</t>
  </si>
  <si>
    <t>Korko- ja rahoitustuotot</t>
  </si>
  <si>
    <t>Korko- ja rahoituskulut</t>
  </si>
  <si>
    <t>VOITTO (TAPPIO) ENNEN TILINPÄÄTÖSSIIRTOJA JA VEROJA</t>
  </si>
  <si>
    <t>Tuloverot</t>
  </si>
  <si>
    <t>Tuloveroprosentti</t>
  </si>
  <si>
    <t>Poistoeron lisäys/vähennys</t>
  </si>
  <si>
    <t>Verotusperusteisten varausten lisäys/vähennys</t>
  </si>
  <si>
    <t>TILIKAUDEN VOITTO/TAPPIO</t>
  </si>
  <si>
    <t>HENKILÖSTÖ KESKIMÄÄRIN</t>
  </si>
  <si>
    <t xml:space="preserve">    </t>
  </si>
  <si>
    <t>T5 KASSABUDJETTI</t>
  </si>
  <si>
    <t xml:space="preserve">ENNUSTEVUOSI </t>
  </si>
  <si>
    <t>1/20XX - 12/20XX</t>
  </si>
  <si>
    <t>Versio 1 / pp.kk.vvvv</t>
  </si>
  <si>
    <t>LIIKETOIMINNAN TULOT</t>
  </si>
  <si>
    <t>YHT</t>
  </si>
  <si>
    <t>PALKAT</t>
  </si>
  <si>
    <t xml:space="preserve"> KASSA ALUSSA (vuoden investoinnit tekemättä)</t>
  </si>
  <si>
    <t xml:space="preserve"> Myyntisaatavat edelliseltä tilikaudelta</t>
  </si>
  <si>
    <t xml:space="preserve"> Käteismyynti, myyntisosuus, (ennakkom.)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</si>
  <si>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</si>
  <si>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</si>
  <si>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</si>
  <si>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</si>
  <si>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</si>
  <si>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Omaisuuden myyntitulot, satunnaiset tuotot</t>
  </si>
  <si>
    <t>Tavoite-</t>
  </si>
  <si>
    <t xml:space="preserve"> Yritystuet, alv-palautus, muut alv 0 % tulot</t>
  </si>
  <si>
    <t>menot</t>
  </si>
  <si>
    <t>LIIKETOIMINTA YHTEENSÄ</t>
  </si>
  <si>
    <t>tilikaudella</t>
  </si>
  <si>
    <t xml:space="preserve">YEL-henkilöt </t>
  </si>
  <si>
    <t>TyEL-työntekijät</t>
  </si>
  <si>
    <t>TyEL toimihenkilöt</t>
  </si>
  <si>
    <t>LIIKETOIMINNAN MENOT</t>
  </si>
  <si>
    <t>Alv -%</t>
  </si>
  <si>
    <t>Erotus</t>
  </si>
  <si>
    <t>sis. alv</t>
  </si>
  <si>
    <t>Raha-</t>
  </si>
  <si>
    <t>Luontois-</t>
  </si>
  <si>
    <t>Verotettava</t>
  </si>
  <si>
    <t>Pidätys-%</t>
  </si>
  <si>
    <t>Verottaja-</t>
  </si>
  <si>
    <t>Tyont.</t>
  </si>
  <si>
    <t>Netto-</t>
  </si>
  <si>
    <t xml:space="preserve"> Aineet ja tarvikkeet</t>
  </si>
  <si>
    <t>palkat</t>
  </si>
  <si>
    <t>edut</t>
  </si>
  <si>
    <t>tulo</t>
  </si>
  <si>
    <t>tilitykset</t>
  </si>
  <si>
    <t>maksut</t>
  </si>
  <si>
    <t xml:space="preserve"> Käteisostot, liiketoimintakaupan tavaravarasto</t>
  </si>
  <si>
    <t xml:space="preserve"> Ulkopuoliset palvelut</t>
  </si>
  <si>
    <t>Ennustevuosi 1</t>
  </si>
  <si>
    <t xml:space="preserve"> Investoinnit sis. alv</t>
  </si>
  <si>
    <t>Ennustevuosi 2</t>
  </si>
  <si>
    <t xml:space="preserve"> Toimitilavuokrat sis. alv</t>
  </si>
  <si>
    <t xml:space="preserve"> Kone-/työajoneuvoleasing ja vuokrakulut, liikekäyttö</t>
  </si>
  <si>
    <t xml:space="preserve"> Muut kiinteät kulut sis. arvonlisäveron</t>
  </si>
  <si>
    <t xml:space="preserve"> Maksettava arvonlisävero</t>
  </si>
  <si>
    <t xml:space="preserve"> Nettopalkat</t>
  </si>
  <si>
    <t xml:space="preserve"> Työnantajatilitykset verottajalle</t>
  </si>
  <si>
    <t xml:space="preserve"> YEL-eläkemaksut ja tapaturmavakuutusmaksu</t>
  </si>
  <si>
    <t xml:space="preserve"> TyEL- maksut, pakolliset työntekijävakuutukset</t>
  </si>
  <si>
    <t xml:space="preserve"> Vapaaehtoiset eläke- ja henkilövakuutusmaksut</t>
  </si>
  <si>
    <t xml:space="preserve"> Vuokrat ja vastikkeet alv 0 %</t>
  </si>
  <si>
    <t xml:space="preserve"> Muut kiinteät kulut alv 0 %</t>
  </si>
  <si>
    <t xml:space="preserve"> Rahoitusmenot</t>
  </si>
  <si>
    <t xml:space="preserve"> Verot</t>
  </si>
  <si>
    <t xml:space="preserve"> Investoinnit alv 0  %</t>
  </si>
  <si>
    <t xml:space="preserve"> Leasingvuokrat, ei alv-vähennystä</t>
  </si>
  <si>
    <t xml:space="preserve"> Liikehuoneisto-osakkeiden hankinta</t>
  </si>
  <si>
    <t>LIIKETOIMINNAN MENOT YHTEENSÄ</t>
  </si>
  <si>
    <t>Tavoite</t>
  </si>
  <si>
    <t>PÄÄOMARAHOITUS: TULOT JA MENOT</t>
  </si>
  <si>
    <t xml:space="preserve"> Osamaksujen kk-erät </t>
  </si>
  <si>
    <t xml:space="preserve"> Lainojen ja osamaksuvelkojen lisäys</t>
  </si>
  <si>
    <t xml:space="preserve"> Lainojen lyhennykset </t>
  </si>
  <si>
    <t xml:space="preserve"> Osingot, yksityiskäyttö</t>
  </si>
  <si>
    <t xml:space="preserve"> Omistajien lisäsijoitukset</t>
  </si>
  <si>
    <t xml:space="preserve"> Muu pääomarahoitus</t>
  </si>
  <si>
    <t>PÄÄOMARAHOITUS, NETTO</t>
  </si>
  <si>
    <t>TULOT - MENOT</t>
  </si>
  <si>
    <t>KUMULATIIVINEN KASSA KUUKAUDEN LOPUSSA</t>
  </si>
  <si>
    <t xml:space="preserve">T1 INVESTOINTISUUNNITELMA   </t>
  </si>
  <si>
    <t xml:space="preserve"> Hankekuvaus</t>
  </si>
  <si>
    <t xml:space="preserve"> Aloitusajankohta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</si>
  <si>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</si>
  <si>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t>Enn. 1</t>
  </si>
  <si>
    <t>Enn. 2</t>
  </si>
  <si>
    <t>Enn. 3</t>
  </si>
  <si>
    <t>Enn. 4</t>
  </si>
  <si>
    <t>Yht.</t>
  </si>
  <si>
    <t>Lisätiedot</t>
  </si>
  <si>
    <t xml:space="preserve"> Maa-alueet</t>
  </si>
  <si>
    <t xml:space="preserve"> Rakennukset ja rakennelmat sis. alv</t>
  </si>
  <si>
    <t xml:space="preserve"> Rakennukset ja rakennelmat alv 0 %</t>
  </si>
  <si>
    <t xml:space="preserve"> Koneet ja kalusto sis. alv</t>
  </si>
  <si>
    <t xml:space="preserve"> Muut aineelliset hyödykkeet</t>
  </si>
  <si>
    <r>
      <t xml:space="preserve">  RAHOITUS </t>
    </r>
    <r>
      <rPr>
        <sz val="10"/>
        <color theme="0"/>
        <rFont val="Arial"/>
        <family val="2"/>
      </rPr>
      <t>(1000 euroa)</t>
    </r>
  </si>
  <si>
    <t>Lisätiedot (esim. sijoittajien nimet, summat, vakuudet)</t>
  </si>
  <si>
    <t>Oma rahoitus</t>
  </si>
  <si>
    <t xml:space="preserve"> Osakepääoman korotus</t>
  </si>
  <si>
    <t xml:space="preserve"> Vieras rahoitus</t>
  </si>
  <si>
    <t>Leasingrahoitus Koneet sis. alv</t>
  </si>
  <si>
    <t>Eläkevak.laina</t>
  </si>
  <si>
    <t>Leasingrahoitus Koneet alv 0 %</t>
  </si>
  <si>
    <t xml:space="preserve">  T2 TULOSSUUNNITELMA</t>
  </si>
  <si>
    <t>1000 €</t>
  </si>
  <si>
    <t>Henkilöstökulut</t>
  </si>
  <si>
    <t>Suunnitelman mukaiset poistot</t>
  </si>
  <si>
    <t xml:space="preserve">LIIKEVAIHTO (€) /HENKILÖ </t>
  </si>
  <si>
    <t>TASE JA RAHOITUSSUUNNITELMA</t>
  </si>
  <si>
    <r>
      <t xml:space="preserve"> T3 TASE VASTAAVAA </t>
    </r>
    <r>
      <rPr>
        <sz val="10"/>
        <color theme="0"/>
        <rFont val="Arial"/>
        <family val="2"/>
      </rPr>
      <t>(1000 €)</t>
    </r>
  </si>
  <si>
    <t>I.</t>
  </si>
  <si>
    <t>II.</t>
  </si>
  <si>
    <t xml:space="preserve">1. Maa- ja vesialueet </t>
  </si>
  <si>
    <t>III.</t>
  </si>
  <si>
    <t>I .</t>
  </si>
  <si>
    <t xml:space="preserve"> Myyntisaamisten kiertonopeus (pv)</t>
  </si>
  <si>
    <t>IV.</t>
  </si>
  <si>
    <r>
      <t xml:space="preserve"> TASE VASTATTAVAA </t>
    </r>
    <r>
      <rPr>
        <sz val="10"/>
        <color theme="0"/>
        <rFont val="Arial"/>
        <family val="2"/>
      </rPr>
      <t>(1000 €)</t>
    </r>
  </si>
  <si>
    <t>D.</t>
  </si>
  <si>
    <t xml:space="preserve"> Ostovelkojen kiertonopeus (pv)</t>
  </si>
  <si>
    <r>
      <t xml:space="preserve"> T4 RAHOITUSSUUNNITELMA </t>
    </r>
    <r>
      <rPr>
        <sz val="9"/>
        <color theme="0"/>
        <rFont val="Arial"/>
        <family val="2"/>
      </rPr>
      <t>(1000 €)</t>
    </r>
  </si>
  <si>
    <t>Omistajien lisäsijoitukset</t>
  </si>
  <si>
    <t xml:space="preserve">ELYn avustus, pääomalainojen ja SVOP:n lisäys, sijoitusten tuloutus     </t>
  </si>
  <si>
    <t>Investoinnit</t>
  </si>
  <si>
    <t>Yli- / alijäämä (7 - 22)</t>
  </si>
  <si>
    <t>T4 RAHOITUSSUUNNITELMA / KÄYTTÖPÄÄOMA (1000 €)</t>
  </si>
  <si>
    <t>T7 LAINAT (1000 €)</t>
  </si>
  <si>
    <r>
      <t xml:space="preserve">PITKÄAIKAISET LAINAT       </t>
    </r>
    <r>
      <rPr>
        <sz val="9"/>
        <color theme="0"/>
        <rFont val="Arial"/>
        <family val="2"/>
      </rPr>
      <t>(ei pääomalainoja)</t>
    </r>
  </si>
  <si>
    <t>Laina-määrä</t>
  </si>
  <si>
    <r>
      <rPr>
        <b/>
        <sz val="8"/>
        <color theme="0"/>
        <rFont val="Arial"/>
        <family val="2"/>
      </rPr>
      <t xml:space="preserve">  Laina-aika</t>
    </r>
    <r>
      <rPr>
        <sz val="8"/>
        <color theme="0"/>
        <rFont val="Arial"/>
        <family val="2"/>
      </rPr>
      <t xml:space="preserve"> (vuotta)</t>
    </r>
  </si>
  <si>
    <t xml:space="preserve">Lyhytaikaiset lainat </t>
  </si>
  <si>
    <t>Pitkäaikaiset velat, ei velkakirjaa</t>
  </si>
  <si>
    <t>Lainojen toimitusmaksut, pankkitakausmaksut</t>
  </si>
  <si>
    <t>KAIKKI YHTEENSÄ</t>
  </si>
  <si>
    <t>TILINPÄÄTÖKSEN TUNNUSLUKUJA</t>
  </si>
  <si>
    <t>MAKSUVALMIUS</t>
  </si>
  <si>
    <t xml:space="preserve"> Vieraan po:n takaisinmaksuaika (vuotta)</t>
  </si>
  <si>
    <t>VARAVARAISUUS</t>
  </si>
  <si>
    <t>LIIKETOIMINNAN LAAJUUS</t>
  </si>
  <si>
    <t>Taseen loppusumma</t>
  </si>
  <si>
    <t>LIIKETOIMINNAN KANNATTAVUUS</t>
  </si>
  <si>
    <t xml:space="preserve"> Sijoitetun pääoman tuotto-%</t>
  </si>
  <si>
    <t>Liiketulos EBIT-%</t>
  </si>
  <si>
    <t>NETTOVARALLISUUSLASKELMA</t>
  </si>
  <si>
    <t xml:space="preserve"> Velat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</si>
</sst>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#,##0.000"/>
    <numFmt numFmtId="170" formatCode="d\.m\.yyyy;@"/>
    <numFmt numFmtId="171" formatCode="#,##0.0_ ;[Red]\-#,##0.0\ "/>
    <numFmt numFmtId="172" formatCode="#,##0\ _€"/>
  </numFmts>
  <fonts count="80" x14ac:knownFonts="1">
    <font>
      <sz val="10"/>
      <name val="Arial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b/>
      <i/>
      <sz val="9"/>
      <name val="Arial"/>
      <family val="2"/>
    </font>
    <font>
      <b/>
      <u/>
      <sz val="8"/>
      <name val="Arial"/>
      <family val="2"/>
    </font>
    <font>
      <u/>
      <sz val="9"/>
      <name val="Arial"/>
      <family val="2"/>
    </font>
    <font>
      <b/>
      <sz val="10"/>
      <color rgb="FFFF0000"/>
      <name val="Arial"/>
      <family val="2"/>
    </font>
    <font>
      <sz val="9"/>
      <color rgb="FF000080"/>
      <name val="Arial"/>
      <family val="2"/>
    </font>
    <font>
      <sz val="9"/>
      <color rgb="FF000066"/>
      <name val="Arial"/>
      <family val="2"/>
    </font>
    <font>
      <sz val="10"/>
      <color rgb="FF000066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sz val="9"/>
      <color theme="1"/>
      <name val="Arial"/>
      <family val="2"/>
    </font>
    <font>
      <i/>
      <sz val="8"/>
      <color rgb="FF002060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sz val="9"/>
      <color rgb="FFFF0000"/>
      <name val="Arial"/>
      <family val="2"/>
    </font>
    <font>
      <i/>
      <sz val="8"/>
      <color theme="3"/>
      <name val="Arial"/>
      <family val="2"/>
    </font>
    <font>
      <b/>
      <sz val="9"/>
      <color rgb="FFFF0000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b/>
      <sz val="9"/>
      <color rgb="FF40404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i/>
      <sz val="9"/>
      <color theme="3"/>
      <name val="Arial"/>
      <family val="2"/>
    </font>
    <font>
      <i/>
      <sz val="8"/>
      <color rgb="FF000066"/>
      <name val="Arial"/>
      <family val="2"/>
    </font>
    <font>
      <i/>
      <sz val="9"/>
      <name val="Arial"/>
      <family val="2"/>
    </font>
    <font>
      <b/>
      <i/>
      <sz val="9"/>
      <color theme="3"/>
      <name val="Arial"/>
      <family val="2"/>
    </font>
    <font>
      <i/>
      <sz val="8"/>
      <color rgb="FF1F497D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i/>
      <sz val="9"/>
      <color rgb="FF002060"/>
      <name val="Arial"/>
      <family val="2"/>
    </font>
    <font>
      <i/>
      <sz val="8"/>
      <color rgb="FF000080"/>
      <name val="Arial"/>
      <family val="2"/>
    </font>
    <font>
      <b/>
      <sz val="9"/>
      <color theme="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  <font>
      <b/>
      <i/>
      <sz val="8"/>
      <color theme="0"/>
      <name val="Arial"/>
      <family val="2"/>
    </font>
    <font>
      <i/>
      <sz val="8"/>
      <color theme="1"/>
      <name val="Arial"/>
      <family val="2"/>
    </font>
    <font>
      <u/>
      <sz val="10"/>
      <color indexed="81"/>
      <name val="Tahoma"/>
      <family val="2"/>
    </font>
    <font>
      <b/>
      <i/>
      <sz val="8"/>
      <color theme="1"/>
      <name val="Arial"/>
      <family val="2"/>
    </font>
    <font>
      <b/>
      <sz val="9"/>
      <color theme="1"/>
      <name val="Arial"/>
      <family val="2"/>
    </font>
    <font>
      <b/>
      <i/>
      <sz val="10"/>
      <color indexed="81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</fills>
  <borders count="37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4" tint="0.39994506668294322"/>
      </top>
      <bottom style="thin">
        <color theme="4" tint="0.39994506668294322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/>
      <right style="thin">
        <color indexed="64"/>
      </right>
      <top style="medium">
        <color theme="0" tint="-0.34998626667073579"/>
      </top>
      <bottom/>
      <diagonal/>
    </border>
    <border>
      <left/>
      <right style="thin">
        <color indexed="64"/>
      </right>
      <top/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dashed">
        <color theme="0" tint="-0.34998626667073579"/>
      </top>
      <bottom style="medium">
        <color theme="0" tint="-0.34998626667073579"/>
      </bottom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dashed">
        <color theme="0" tint="-0.34998626667073579"/>
      </bottom>
      <diagonal/>
    </border>
    <border>
      <left style="medium">
        <color theme="0" tint="-0.34998626667073579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medium">
        <color theme="0" tint="-0.34998626667073579"/>
      </left>
      <right/>
      <top style="dashed">
        <color theme="0" tint="-0.34998626667073579"/>
      </top>
      <bottom style="medium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/>
      <bottom style="thin">
        <color indexed="64"/>
      </bottom>
      <diagonal/>
    </border>
    <border>
      <left style="medium">
        <color theme="0" tint="-0.34998626667073579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 style="dotted">
        <color indexed="64"/>
      </bottom>
      <diagonal/>
    </border>
    <border>
      <left/>
      <right/>
      <top style="medium">
        <color theme="0" tint="-0.34998626667073579"/>
      </top>
      <bottom style="thin">
        <color indexed="64"/>
      </bottom>
      <diagonal/>
    </border>
    <border>
      <left style="medium">
        <color theme="0" tint="-0.34998626667073579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theme="0" tint="-0.34998626667073579"/>
      </left>
      <right/>
      <top style="dotted">
        <color indexed="64"/>
      </top>
      <bottom/>
      <diagonal/>
    </border>
    <border>
      <left style="medium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medium">
        <color theme="0" tint="-0.34998626667073579"/>
      </left>
      <right/>
      <top style="thin">
        <color indexed="64"/>
      </top>
      <bottom/>
      <diagonal/>
    </border>
    <border>
      <left style="thin">
        <color indexed="64"/>
      </left>
      <right style="medium">
        <color theme="0" tint="-0.34998626667073579"/>
      </right>
      <top/>
      <bottom/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/>
      <diagonal/>
    </border>
    <border>
      <left/>
      <right/>
      <top style="hair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indexed="64"/>
      </top>
      <bottom style="dotted">
        <color theme="0" tint="-0.34998626667073579"/>
      </bottom>
      <diagonal/>
    </border>
    <border>
      <left/>
      <right/>
      <top style="dotted">
        <color indexed="64"/>
      </top>
      <bottom style="dotted">
        <color theme="0" tint="-0.34998626667073579"/>
      </bottom>
      <diagonal/>
    </border>
    <border>
      <left/>
      <right style="thin">
        <color indexed="64"/>
      </right>
      <top style="dotted">
        <color indexed="64"/>
      </top>
      <bottom style="dotted">
        <color theme="0" tint="-0.34998626667073579"/>
      </bottom>
      <diagonal/>
    </border>
    <border>
      <left style="medium">
        <color indexed="64"/>
      </left>
      <right/>
      <top style="medium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theme="0" tint="-0.34998626667073579"/>
      </top>
      <bottom/>
      <diagonal/>
    </border>
    <border>
      <left/>
      <right/>
      <top style="dotted">
        <color theme="0" tint="-0.34998626667073579"/>
      </top>
      <bottom/>
      <diagonal/>
    </border>
    <border>
      <left/>
      <right style="thin">
        <color indexed="64"/>
      </right>
      <top style="dotted">
        <color theme="0" tint="-0.34998626667073579"/>
      </top>
      <bottom/>
      <diagonal/>
    </border>
    <border>
      <left style="thin">
        <color indexed="64"/>
      </left>
      <right style="medium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indexed="64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/>
      <right style="thin">
        <color indexed="64"/>
      </right>
      <top/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/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dotted">
        <color theme="0" tint="-0.34998626667073579"/>
      </bottom>
      <diagonal/>
    </border>
    <border>
      <left/>
      <right style="thin">
        <color theme="0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4659260841701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dashed">
        <color theme="0" tint="-0.34998626667073579"/>
      </top>
      <bottom/>
      <diagonal/>
    </border>
    <border>
      <left/>
      <right/>
      <top style="dashed">
        <color theme="0" tint="-0.34998626667073579"/>
      </top>
      <bottom/>
      <diagonal/>
    </border>
    <border>
      <left/>
      <right style="thin">
        <color indexed="64"/>
      </right>
      <top style="dashed">
        <color theme="0" tint="-0.34998626667073579"/>
      </top>
      <bottom/>
      <diagonal/>
    </border>
    <border>
      <left style="medium">
        <color theme="0" tint="-0.34998626667073579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dotted">
        <color theme="0" tint="-0.34998626667073579"/>
      </top>
      <bottom style="dotted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theme="3" tint="0.59996337778862885"/>
      </bottom>
      <diagonal/>
    </border>
    <border>
      <left style="thin">
        <color indexed="64"/>
      </left>
      <right style="medium">
        <color indexed="64"/>
      </right>
      <top style="medium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medium">
        <color indexed="64"/>
      </top>
      <bottom style="thin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 style="dotted">
        <color auto="1"/>
      </top>
      <bottom/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34998626667073579"/>
      </left>
      <right style="dotted">
        <color auto="1"/>
      </right>
      <top/>
      <bottom style="thin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dashed">
        <color theme="0" tint="-0.34998626667073579"/>
      </bottom>
      <diagonal/>
    </border>
    <border>
      <left style="thin">
        <color theme="0" tint="-0.34998626667073579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/>
      <top/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 style="dashed">
        <color theme="0" tint="-0.34998626667073579"/>
      </left>
      <right/>
      <top style="dashed">
        <color theme="0" tint="-0.34998626667073579"/>
      </top>
      <bottom/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/>
      <top/>
      <bottom/>
      <diagonal/>
    </border>
    <border>
      <left/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/>
      <top style="dashed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/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 style="dashed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medium">
        <color theme="0" tint="-0.34998626667073579"/>
      </right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dotted">
        <color auto="1"/>
      </right>
      <top/>
      <bottom/>
      <diagonal/>
    </border>
    <border>
      <left style="dotted">
        <color auto="1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24994659260841701"/>
      </top>
      <bottom/>
      <diagonal/>
    </border>
    <border>
      <left/>
      <right style="thin">
        <color theme="0" tint="-0.34998626667073579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/>
      <diagonal/>
    </border>
    <border>
      <left/>
      <right/>
      <top/>
      <bottom style="thin">
        <color theme="0" tint="-0.249977111117893"/>
      </bottom>
      <diagonal/>
    </border>
    <border>
      <left style="medium">
        <color theme="0" tint="-0.249977111117893"/>
      </left>
      <right/>
      <top style="thin">
        <color theme="0" tint="-0.249977111117893"/>
      </top>
      <bottom/>
      <diagonal/>
    </border>
    <border>
      <left/>
      <right style="medium">
        <color theme="0" tint="-0.249977111117893"/>
      </right>
      <top style="thin">
        <color theme="0" tint="-0.249977111117893"/>
      </top>
      <bottom/>
      <diagonal/>
    </border>
    <border>
      <left style="medium">
        <color theme="0" tint="-0.249977111117893"/>
      </left>
      <right/>
      <top/>
      <bottom/>
      <diagonal/>
    </border>
    <border>
      <left/>
      <right style="medium">
        <color theme="0" tint="-0.249977111117893"/>
      </right>
      <top/>
      <bottom/>
      <diagonal/>
    </border>
    <border>
      <left style="medium">
        <color theme="0" tint="-0.249977111117893"/>
      </left>
      <right/>
      <top/>
      <bottom style="thin">
        <color theme="0" tint="-0.249977111117893"/>
      </bottom>
      <diagonal/>
    </border>
    <border>
      <left/>
      <right style="medium">
        <color theme="0" tint="-0.249977111117893"/>
      </right>
      <top/>
      <bottom style="thin">
        <color theme="0" tint="-0.249977111117893"/>
      </bottom>
      <diagonal/>
    </border>
    <border>
      <left style="medium">
        <color theme="0" tint="-0.249977111117893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medium">
        <color theme="0" tint="-0.249977111117893"/>
      </right>
      <top/>
      <bottom style="dashed">
        <color theme="0" tint="-0.34998626667073579"/>
      </bottom>
      <diagonal/>
    </border>
    <border>
      <left style="medium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medium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 style="medium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medium">
        <color theme="0" tint="-0.249977111117893"/>
      </right>
      <top/>
      <bottom/>
      <diagonal/>
    </border>
    <border>
      <left style="medium">
        <color theme="0" tint="-0.249977111117893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 style="dashed">
        <color theme="0" tint="-0.34998626667073579"/>
      </left>
      <right style="medium">
        <color theme="0" tint="-0.249977111117893"/>
      </right>
      <top style="dashed">
        <color theme="0" tint="-0.34998626667073579"/>
      </top>
      <bottom/>
      <diagonal/>
    </border>
    <border>
      <left style="medium">
        <color theme="0" tint="-0.249977111117893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medium">
        <color theme="0" tint="-0.249977111117893"/>
      </right>
      <top/>
      <bottom style="dotted">
        <color auto="1"/>
      </bottom>
      <diagonal/>
    </border>
    <border>
      <left style="medium">
        <color theme="0" tint="-0.249977111117893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medium">
        <color theme="0" tint="-0.249977111117893"/>
      </right>
      <top style="dotted">
        <color auto="1"/>
      </top>
      <bottom style="dotted">
        <color auto="1"/>
      </bottom>
      <diagonal/>
    </border>
    <border>
      <left style="medium">
        <color theme="0" tint="-0.249977111117893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medium">
        <color theme="0" tint="-0.249977111117893"/>
      </right>
      <top style="dotted">
        <color auto="1"/>
      </top>
      <bottom/>
      <diagonal/>
    </border>
    <border>
      <left style="medium">
        <color theme="0" tint="-0.249977111117893"/>
      </left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medium">
        <color theme="0" tint="-0.249977111117893"/>
      </right>
      <top/>
      <bottom/>
      <diagonal/>
    </border>
    <border>
      <left style="dashed">
        <color theme="0" tint="-0.34998626667073579"/>
      </left>
      <right style="medium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 style="medium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249977111117893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medium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medium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/>
      <diagonal/>
    </border>
    <border>
      <left/>
      <right style="medium">
        <color theme="0" tint="-0.34998626667073579"/>
      </right>
      <top style="thin">
        <color theme="0" tint="-0.34998626667073579"/>
      </top>
      <bottom/>
      <diagonal/>
    </border>
    <border>
      <left style="medium">
        <color theme="0" tint="-0.34998626667073579"/>
      </left>
      <right/>
      <top/>
      <bottom style="thin">
        <color theme="0" tint="-0.249977111117893"/>
      </bottom>
      <diagonal/>
    </border>
    <border>
      <left/>
      <right style="medium">
        <color theme="0" tint="-0.34998626667073579"/>
      </right>
      <top/>
      <bottom style="thin">
        <color theme="0" tint="-0.249977111117893"/>
      </bottom>
      <diagonal/>
    </border>
    <border>
      <left style="medium">
        <color theme="0" tint="-0.34998626667073579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medium">
        <color theme="0" tint="-0.34998626667073579"/>
      </right>
      <top/>
      <bottom style="dashed">
        <color theme="0" tint="-0.34998626667073579"/>
      </bottom>
      <diagonal/>
    </border>
    <border>
      <left style="medium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medium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medium">
        <color theme="0" tint="-0.34998626667073579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 style="dashed">
        <color theme="0" tint="-0.34998626667073579"/>
      </left>
      <right style="medium">
        <color theme="0" tint="-0.34998626667073579"/>
      </right>
      <top style="dashed">
        <color theme="0" tint="-0.34998626667073579"/>
      </top>
      <bottom/>
      <diagonal/>
    </border>
    <border>
      <left style="medium">
        <color theme="0" tint="-0.34998626667073579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medium">
        <color theme="0" tint="-0.34998626667073579"/>
      </right>
      <top/>
      <bottom style="dotted">
        <color auto="1"/>
      </bottom>
      <diagonal/>
    </border>
    <border>
      <left style="medium">
        <color theme="0" tint="-0.34998626667073579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medium">
        <color theme="0" tint="-0.34998626667073579"/>
      </right>
      <top style="dotted">
        <color auto="1"/>
      </top>
      <bottom style="dotted">
        <color auto="1"/>
      </bottom>
      <diagonal/>
    </border>
    <border>
      <left style="medium">
        <color theme="0" tint="-0.34998626667073579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medium">
        <color theme="0" tint="-0.34998626667073579"/>
      </right>
      <top style="dotted">
        <color auto="1"/>
      </top>
      <bottom/>
      <diagonal/>
    </border>
    <border>
      <left style="medium">
        <color theme="0" tint="-0.34998626667073579"/>
      </left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medium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medium">
        <color theme="0" tint="-0.34998626667073579"/>
      </left>
      <right/>
      <top style="thin">
        <color theme="0" tint="-0.249977111117893"/>
      </top>
      <bottom/>
      <diagonal/>
    </border>
    <border>
      <left/>
      <right style="medium">
        <color theme="0" tint="-0.34998626667073579"/>
      </right>
      <top style="thin">
        <color theme="0" tint="-0.249977111117893"/>
      </top>
      <bottom/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/>
      <diagonal/>
    </border>
    <border>
      <left style="medium">
        <color theme="0" tint="-0.249977111117893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/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/>
      <right style="medium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 style="thin">
        <color theme="0" tint="-0.34998626667073579"/>
      </bottom>
      <diagonal/>
    </border>
    <border>
      <left/>
      <right style="medium">
        <color theme="0" tint="-0.249977111117893"/>
      </right>
      <top/>
      <bottom style="dashed">
        <color theme="0" tint="-0.34998626667073579"/>
      </bottom>
      <diagonal/>
    </border>
    <border>
      <left/>
      <right style="medium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medium">
        <color theme="0" tint="-0.249977111117893"/>
      </right>
      <top style="dashed">
        <color theme="0" tint="-0.34998626667073579"/>
      </top>
      <bottom/>
      <diagonal/>
    </border>
    <border>
      <left/>
      <right style="medium">
        <color theme="0" tint="-0.249977111117893"/>
      </right>
      <top/>
      <bottom style="dotted">
        <color auto="1"/>
      </bottom>
      <diagonal/>
    </border>
    <border>
      <left/>
      <right style="medium">
        <color theme="0" tint="-0.249977111117893"/>
      </right>
      <top style="dotted">
        <color auto="1"/>
      </top>
      <bottom style="dotted">
        <color auto="1"/>
      </bottom>
      <diagonal/>
    </border>
    <border>
      <left/>
      <right style="medium">
        <color theme="0" tint="-0.249977111117893"/>
      </right>
      <top style="dotted">
        <color auto="1"/>
      </top>
      <bottom/>
      <diagonal/>
    </border>
    <border>
      <left/>
      <right/>
      <top style="dashed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dashed">
        <color theme="0" tint="-0.34998626667073579"/>
      </bottom>
      <diagonal/>
    </border>
    <border>
      <left/>
      <right style="medium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/>
      <right style="medium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</borders>
  <cellStyleXfs count="3">
    <xf numFmtId="0" fontId="0" fillId="0" borderId="0"/>
    <xf numFmtId="0" fontId="3" fillId="0" borderId="0"/>
    <xf numFmtId="9" fontId="1" fillId="0" borderId="0" applyFont="0" applyFill="0" applyBorder="0" applyAlignment="0" applyProtection="0"/>
  </cellStyleXfs>
  <cellXfs count="2510">
    <xf numFmtId="0" fontId="0" fillId="0" borderId="0" xfId="0"/>
    <xf numFmtId="0" fontId="3" fillId="0" borderId="0" xfId="0" applyFont="1"/>
    <xf numFmtId="0" fontId="4" fillId="0" borderId="0" xfId="0" applyFont="1"/>
    <xf numFmtId="3" fontId="4" fillId="0" borderId="0" xfId="0" applyNumberFormat="1" applyFont="1" applyProtection="1">
      <protection hidden="1"/>
    </xf>
    <xf numFmtId="0" fontId="10" fillId="0" borderId="0" xfId="0" applyFont="1"/>
    <xf numFmtId="0" fontId="4" fillId="0" borderId="0" xfId="0" applyFont="1" applyAlignment="1">
      <alignment horizontal="center"/>
    </xf>
    <xf numFmtId="0" fontId="0" fillId="2" borderId="0" xfId="0" applyFill="1"/>
    <xf numFmtId="3" fontId="4" fillId="2" borderId="0" xfId="0" applyNumberFormat="1" applyFont="1" applyFill="1" applyProtection="1">
      <protection hidden="1"/>
    </xf>
    <xf numFmtId="0" fontId="4" fillId="2" borderId="0" xfId="0" applyFont="1" applyFill="1" applyProtection="1">
      <protection hidden="1"/>
    </xf>
    <xf numFmtId="0" fontId="8" fillId="2" borderId="0" xfId="0" applyFont="1" applyFill="1"/>
    <xf numFmtId="4" fontId="4" fillId="2" borderId="0" xfId="0" applyNumberFormat="1" applyFont="1" applyFill="1" applyProtection="1">
      <protection hidden="1"/>
    </xf>
    <xf numFmtId="3" fontId="0" fillId="2" borderId="0" xfId="0" applyNumberFormat="1" applyFill="1" applyProtection="1">
      <protection hidden="1"/>
    </xf>
    <xf numFmtId="167" fontId="4" fillId="2" borderId="0" xfId="0" applyNumberFormat="1" applyFont="1" applyFill="1" applyProtection="1">
      <protection hidden="1"/>
    </xf>
    <xf numFmtId="14" fontId="0" fillId="0" borderId="0" xfId="0" applyNumberFormat="1"/>
    <xf numFmtId="0" fontId="13" fillId="0" borderId="0" xfId="0" applyFont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7" fillId="2" borderId="0" xfId="0" applyNumberFormat="1" applyFont="1" applyFill="1" applyProtection="1">
      <protection hidden="1"/>
    </xf>
    <xf numFmtId="3" fontId="4" fillId="2" borderId="0" xfId="0" applyNumberFormat="1" applyFont="1" applyFill="1" applyAlignment="1" applyProtection="1">
      <alignment horizontal="center"/>
      <protection hidden="1"/>
    </xf>
    <xf numFmtId="0" fontId="6" fillId="0" borderId="0" xfId="0" applyFont="1"/>
    <xf numFmtId="0" fontId="2" fillId="0" borderId="0" xfId="0" applyFont="1" applyAlignment="1">
      <alignment horizontal="center"/>
    </xf>
    <xf numFmtId="1" fontId="4" fillId="0" borderId="0" xfId="0" applyNumberFormat="1" applyFont="1" applyAlignment="1">
      <alignment horizontal="center"/>
    </xf>
    <xf numFmtId="0" fontId="14" fillId="2" borderId="0" xfId="0" applyFont="1" applyFill="1"/>
    <xf numFmtId="0" fontId="13" fillId="0" borderId="0" xfId="0" applyFont="1" applyAlignment="1">
      <alignment horizontal="right"/>
    </xf>
    <xf numFmtId="0" fontId="9" fillId="0" borderId="0" xfId="0" applyFont="1"/>
    <xf numFmtId="3" fontId="10" fillId="0" borderId="0" xfId="0" applyNumberFormat="1" applyFont="1" applyProtection="1">
      <protection hidden="1"/>
    </xf>
    <xf numFmtId="3" fontId="10" fillId="0" borderId="0" xfId="0" applyNumberFormat="1" applyFont="1"/>
    <xf numFmtId="0" fontId="4" fillId="2" borderId="0" xfId="0" applyFont="1" applyFill="1"/>
    <xf numFmtId="0" fontId="4" fillId="2" borderId="0" xfId="0" applyFont="1" applyFill="1" applyAlignment="1">
      <alignment horizontal="right"/>
    </xf>
    <xf numFmtId="49" fontId="4" fillId="2" borderId="0" xfId="0" applyNumberFormat="1" applyFont="1" applyFill="1" applyAlignment="1">
      <alignment horizontal="right"/>
    </xf>
    <xf numFmtId="0" fontId="4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/>
    <xf numFmtId="0" fontId="2" fillId="3" borderId="1" xfId="0" applyFont="1" applyFill="1" applyBorder="1" applyAlignment="1">
      <alignment horizontal="center"/>
    </xf>
    <xf numFmtId="0" fontId="13" fillId="0" borderId="0" xfId="0" applyFont="1" applyAlignment="1">
      <alignment vertical="center"/>
    </xf>
    <xf numFmtId="0" fontId="2" fillId="3" borderId="2" xfId="0" applyFont="1" applyFill="1" applyBorder="1" applyAlignment="1">
      <alignment horizontal="center"/>
    </xf>
    <xf numFmtId="0" fontId="5" fillId="0" borderId="0" xfId="0" applyFont="1" applyAlignment="1">
      <alignment vertical="center"/>
    </xf>
    <xf numFmtId="3" fontId="9" fillId="0" borderId="0" xfId="0" applyNumberFormat="1" applyFont="1" applyProtection="1">
      <protection hidden="1"/>
    </xf>
    <xf numFmtId="0" fontId="5" fillId="0" borderId="0" xfId="0" applyFont="1"/>
    <xf numFmtId="0" fontId="0" fillId="0" borderId="0" xfId="0" applyAlignment="1">
      <alignment vertical="center"/>
    </xf>
    <xf numFmtId="0" fontId="13" fillId="0" borderId="0" xfId="0" applyFont="1" applyAlignment="1">
      <alignment horizontal="center"/>
    </xf>
    <xf numFmtId="3" fontId="5" fillId="0" borderId="0" xfId="0" applyNumberFormat="1" applyFont="1"/>
    <xf numFmtId="3" fontId="2" fillId="0" borderId="0" xfId="0" applyNumberFormat="1" applyFont="1" applyProtection="1">
      <protection hidden="1"/>
    </xf>
    <xf numFmtId="3" fontId="5" fillId="0" borderId="0" xfId="0" applyNumberFormat="1" applyFont="1" applyProtection="1">
      <protection hidden="1"/>
    </xf>
    <xf numFmtId="3" fontId="9" fillId="0" borderId="0" xfId="0" applyNumberFormat="1" applyFont="1"/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20" fillId="0" borderId="0" xfId="0" applyFont="1" applyAlignment="1">
      <alignment horizontal="right"/>
    </xf>
    <xf numFmtId="6" fontId="4" fillId="0" borderId="0" xfId="0" applyNumberFormat="1" applyFont="1" applyAlignment="1">
      <alignment horizontal="center" vertical="center"/>
    </xf>
    <xf numFmtId="0" fontId="17" fillId="0" borderId="8" xfId="0" applyFont="1" applyBorder="1"/>
    <xf numFmtId="0" fontId="17" fillId="0" borderId="9" xfId="0" applyFont="1" applyBorder="1"/>
    <xf numFmtId="0" fontId="17" fillId="0" borderId="0" xfId="0" applyFont="1"/>
    <xf numFmtId="0" fontId="22" fillId="0" borderId="0" xfId="0" applyFont="1"/>
    <xf numFmtId="14" fontId="6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7" fillId="0" borderId="3" xfId="0" applyFont="1" applyBorder="1"/>
    <xf numFmtId="0" fontId="17" fillId="0" borderId="10" xfId="0" applyFont="1" applyBorder="1"/>
    <xf numFmtId="0" fontId="3" fillId="0" borderId="0" xfId="0" applyFont="1" applyAlignment="1">
      <alignment vertical="center"/>
    </xf>
    <xf numFmtId="0" fontId="7" fillId="0" borderId="12" xfId="0" applyFont="1" applyBorder="1" applyAlignment="1">
      <alignment horizontal="left"/>
    </xf>
    <xf numFmtId="0" fontId="7" fillId="0" borderId="13" xfId="0" applyFont="1" applyBorder="1" applyAlignment="1">
      <alignment horizontal="left"/>
    </xf>
    <xf numFmtId="0" fontId="21" fillId="0" borderId="0" xfId="0" applyFont="1" applyAlignment="1">
      <alignment horizontal="left"/>
    </xf>
    <xf numFmtId="0" fontId="21" fillId="0" borderId="0" xfId="0" applyFont="1"/>
    <xf numFmtId="0" fontId="0" fillId="0" borderId="0" xfId="0" applyAlignment="1">
      <alignment horizontal="left"/>
    </xf>
    <xf numFmtId="0" fontId="4" fillId="0" borderId="15" xfId="0" applyFont="1" applyBorder="1" applyAlignment="1">
      <alignment vertical="center"/>
    </xf>
    <xf numFmtId="0" fontId="20" fillId="0" borderId="0" xfId="0" applyFont="1" applyAlignment="1">
      <alignment horizontal="center"/>
    </xf>
    <xf numFmtId="0" fontId="0" fillId="0" borderId="3" xfId="0" applyBorder="1"/>
    <xf numFmtId="0" fontId="10" fillId="0" borderId="16" xfId="0" applyFont="1" applyBorder="1" applyAlignment="1">
      <alignment horizontal="center" vertical="center"/>
    </xf>
    <xf numFmtId="14" fontId="4" fillId="0" borderId="0" xfId="0" applyNumberFormat="1" applyFont="1"/>
    <xf numFmtId="0" fontId="0" fillId="0" borderId="17" xfId="0" applyBorder="1"/>
    <xf numFmtId="0" fontId="0" fillId="0" borderId="18" xfId="0" applyBorder="1"/>
    <xf numFmtId="0" fontId="5" fillId="0" borderId="0" xfId="0" applyFont="1" applyAlignment="1">
      <alignment horizontal="right" vertical="center"/>
    </xf>
    <xf numFmtId="0" fontId="16" fillId="0" borderId="0" xfId="0" applyFont="1"/>
    <xf numFmtId="0" fontId="5" fillId="0" borderId="0" xfId="0" applyFont="1" applyAlignment="1">
      <alignment horizontal="center"/>
    </xf>
    <xf numFmtId="0" fontId="4" fillId="0" borderId="20" xfId="0" applyFont="1" applyBorder="1" applyAlignment="1">
      <alignment horizontal="center" vertical="center"/>
    </xf>
    <xf numFmtId="166" fontId="0" fillId="0" borderId="18" xfId="0" applyNumberFormat="1" applyBorder="1"/>
    <xf numFmtId="164" fontId="0" fillId="0" borderId="21" xfId="2" applyNumberFormat="1" applyFont="1" applyBorder="1"/>
    <xf numFmtId="0" fontId="4" fillId="0" borderId="9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6" fontId="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1" fontId="0" fillId="0" borderId="18" xfId="0" applyNumberFormat="1" applyBorder="1"/>
    <xf numFmtId="0" fontId="36" fillId="0" borderId="0" xfId="0" applyFont="1" applyAlignment="1" applyProtection="1">
      <alignment vertical="center"/>
      <protection hidden="1"/>
    </xf>
    <xf numFmtId="0" fontId="21" fillId="0" borderId="1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3" fillId="2" borderId="0" xfId="0" applyFont="1" applyFill="1"/>
    <xf numFmtId="0" fontId="24" fillId="2" borderId="0" xfId="0" applyFont="1" applyFill="1" applyAlignment="1" applyProtection="1">
      <alignment horizontal="left" vertical="center"/>
      <protection hidden="1"/>
    </xf>
    <xf numFmtId="0" fontId="23" fillId="2" borderId="0" xfId="0" applyFont="1" applyFill="1" applyAlignment="1">
      <alignment horizontal="center"/>
    </xf>
    <xf numFmtId="0" fontId="21" fillId="2" borderId="0" xfId="0" applyFont="1" applyFill="1"/>
    <xf numFmtId="0" fontId="7" fillId="0" borderId="0" xfId="0" applyFont="1" applyAlignment="1">
      <alignment horizontal="right"/>
    </xf>
    <xf numFmtId="0" fontId="27" fillId="0" borderId="0" xfId="0" applyFont="1"/>
    <xf numFmtId="3" fontId="28" fillId="0" borderId="0" xfId="0" applyNumberFormat="1" applyFont="1"/>
    <xf numFmtId="0" fontId="29" fillId="0" borderId="0" xfId="0" applyFont="1" applyAlignment="1">
      <alignment horizontal="center"/>
    </xf>
    <xf numFmtId="0" fontId="2" fillId="0" borderId="0" xfId="0" applyFont="1"/>
    <xf numFmtId="0" fontId="4" fillId="0" borderId="26" xfId="0" applyFont="1" applyBorder="1"/>
    <xf numFmtId="0" fontId="4" fillId="0" borderId="26" xfId="0" applyFont="1" applyBorder="1" applyAlignment="1" applyProtection="1">
      <alignment horizontal="left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1" fontId="4" fillId="0" borderId="0" xfId="0" applyNumberFormat="1" applyFont="1" applyAlignment="1" applyProtection="1">
      <alignment horizontal="center"/>
      <protection hidden="1"/>
    </xf>
    <xf numFmtId="1" fontId="22" fillId="0" borderId="0" xfId="0" applyNumberFormat="1" applyFont="1" applyAlignment="1" applyProtection="1">
      <alignment horizontal="center"/>
      <protection hidden="1"/>
    </xf>
    <xf numFmtId="0" fontId="27" fillId="0" borderId="0" xfId="0" applyFont="1" applyAlignment="1">
      <alignment horizontal="center"/>
    </xf>
    <xf numFmtId="0" fontId="24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0" xfId="0" applyFont="1" applyProtection="1">
      <protection hidden="1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right"/>
      <protection hidden="1"/>
    </xf>
    <xf numFmtId="0" fontId="10" fillId="0" borderId="0" xfId="0" applyFont="1" applyAlignment="1" applyProtection="1">
      <alignment vertical="center"/>
      <protection hidden="1"/>
    </xf>
    <xf numFmtId="0" fontId="5" fillId="0" borderId="0" xfId="0" applyFont="1" applyAlignment="1">
      <alignment horizontal="right"/>
    </xf>
    <xf numFmtId="0" fontId="5" fillId="2" borderId="0" xfId="0" applyFont="1" applyFill="1"/>
    <xf numFmtId="3" fontId="5" fillId="0" borderId="0" xfId="0" applyNumberFormat="1" applyFont="1" applyAlignment="1">
      <alignment horizontal="right"/>
    </xf>
    <xf numFmtId="0" fontId="31" fillId="0" borderId="0" xfId="0" applyFont="1"/>
    <xf numFmtId="0" fontId="31" fillId="0" borderId="0" xfId="0" applyFont="1" applyAlignment="1">
      <alignment horizontal="center"/>
    </xf>
    <xf numFmtId="0" fontId="23" fillId="2" borderId="0" xfId="0" applyFont="1" applyFill="1" applyAlignment="1">
      <alignment horizontal="left"/>
    </xf>
    <xf numFmtId="0" fontId="18" fillId="2" borderId="0" xfId="0" applyFont="1" applyFill="1" applyAlignment="1">
      <alignment horizontal="center"/>
    </xf>
    <xf numFmtId="0" fontId="23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left"/>
    </xf>
    <xf numFmtId="0" fontId="21" fillId="2" borderId="17" xfId="0" applyFont="1" applyFill="1" applyBorder="1"/>
    <xf numFmtId="0" fontId="18" fillId="0" borderId="0" xfId="0" applyFont="1"/>
    <xf numFmtId="0" fontId="4" fillId="0" borderId="17" xfId="0" applyFont="1" applyBorder="1"/>
    <xf numFmtId="0" fontId="18" fillId="0" borderId="17" xfId="0" applyFont="1" applyBorder="1"/>
    <xf numFmtId="0" fontId="18" fillId="0" borderId="17" xfId="0" applyFont="1" applyBorder="1" applyAlignment="1">
      <alignment horizontal="center"/>
    </xf>
    <xf numFmtId="0" fontId="4" fillId="0" borderId="27" xfId="0" applyFont="1" applyBorder="1" applyAlignment="1" applyProtection="1">
      <alignment horizontal="left" vertical="center"/>
      <protection hidden="1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25" xfId="0" applyFont="1" applyBorder="1" applyAlignment="1">
      <alignment vertical="center"/>
    </xf>
    <xf numFmtId="0" fontId="4" fillId="0" borderId="0" xfId="0" applyFont="1" applyAlignment="1">
      <alignment horizontal="right"/>
    </xf>
    <xf numFmtId="0" fontId="15" fillId="0" borderId="3" xfId="0" applyFont="1" applyBorder="1"/>
    <xf numFmtId="0" fontId="0" fillId="0" borderId="27" xfId="0" applyBorder="1"/>
    <xf numFmtId="3" fontId="0" fillId="0" borderId="35" xfId="0" applyNumberFormat="1" applyBorder="1"/>
    <xf numFmtId="3" fontId="0" fillId="0" borderId="36" xfId="0" applyNumberFormat="1" applyBorder="1"/>
    <xf numFmtId="3" fontId="4" fillId="0" borderId="0" xfId="0" applyNumberFormat="1" applyFont="1"/>
    <xf numFmtId="0" fontId="4" fillId="0" borderId="38" xfId="0" applyFont="1" applyBorder="1" applyAlignment="1" applyProtection="1">
      <alignment horizontal="center" vertical="center"/>
      <protection hidden="1"/>
    </xf>
    <xf numFmtId="0" fontId="2" fillId="0" borderId="27" xfId="0" applyFont="1" applyBorder="1" applyAlignment="1">
      <alignment horizontal="center"/>
    </xf>
    <xf numFmtId="1" fontId="4" fillId="3" borderId="39" xfId="0" applyNumberFormat="1" applyFont="1" applyFill="1" applyBorder="1" applyAlignment="1">
      <alignment horizontal="center"/>
    </xf>
    <xf numFmtId="0" fontId="10" fillId="0" borderId="18" xfId="0" applyFont="1" applyBorder="1"/>
    <xf numFmtId="164" fontId="10" fillId="0" borderId="18" xfId="2" applyNumberFormat="1" applyFont="1" applyBorder="1"/>
    <xf numFmtId="3" fontId="10" fillId="0" borderId="18" xfId="2" applyNumberFormat="1" applyFont="1" applyBorder="1"/>
    <xf numFmtId="164" fontId="0" fillId="0" borderId="18" xfId="2" applyNumberFormat="1" applyFont="1" applyBorder="1"/>
    <xf numFmtId="0" fontId="10" fillId="0" borderId="40" xfId="0" applyFont="1" applyBorder="1" applyAlignment="1">
      <alignment horizontal="center" vertical="center"/>
    </xf>
    <xf numFmtId="0" fontId="10" fillId="0" borderId="17" xfId="0" applyFont="1" applyBorder="1" applyAlignment="1">
      <alignment vertical="center"/>
    </xf>
    <xf numFmtId="3" fontId="10" fillId="0" borderId="0" xfId="0" applyNumberFormat="1" applyFont="1" applyAlignment="1">
      <alignment horizontal="center" vertical="center"/>
    </xf>
    <xf numFmtId="0" fontId="10" fillId="0" borderId="27" xfId="0" applyFont="1" applyBorder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3" fontId="9" fillId="0" borderId="0" xfId="0" applyNumberFormat="1" applyFont="1" applyAlignment="1">
      <alignment horizontal="center" vertical="center"/>
    </xf>
    <xf numFmtId="0" fontId="10" fillId="0" borderId="27" xfId="0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28" xfId="0" applyFont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0" fillId="0" borderId="34" xfId="0" applyBorder="1"/>
    <xf numFmtId="0" fontId="4" fillId="0" borderId="31" xfId="0" applyFont="1" applyBorder="1" applyAlignment="1">
      <alignment horizontal="right" vertical="center"/>
    </xf>
    <xf numFmtId="9" fontId="0" fillId="0" borderId="0" xfId="2" applyFont="1"/>
    <xf numFmtId="167" fontId="4" fillId="0" borderId="0" xfId="0" applyNumberFormat="1" applyFont="1"/>
    <xf numFmtId="0" fontId="9" fillId="0" borderId="8" xfId="0" applyFont="1" applyBorder="1" applyAlignment="1">
      <alignment vertical="center"/>
    </xf>
    <xf numFmtId="0" fontId="10" fillId="0" borderId="27" xfId="0" applyFont="1" applyBorder="1" applyAlignment="1">
      <alignment horizontal="center" vertical="center"/>
    </xf>
    <xf numFmtId="0" fontId="10" fillId="0" borderId="17" xfId="0" applyFont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9" fillId="0" borderId="31" xfId="0" applyFont="1" applyBorder="1" applyAlignment="1">
      <alignment horizontal="right" vertical="center"/>
    </xf>
    <xf numFmtId="3" fontId="0" fillId="0" borderId="18" xfId="0" applyNumberFormat="1" applyBorder="1"/>
    <xf numFmtId="49" fontId="4" fillId="2" borderId="0" xfId="0" applyNumberFormat="1" applyFont="1" applyFill="1" applyAlignment="1">
      <alignment horizontal="center"/>
    </xf>
    <xf numFmtId="0" fontId="4" fillId="0" borderId="21" xfId="0" applyFont="1" applyBorder="1" applyAlignment="1">
      <alignment horizontal="right"/>
    </xf>
    <xf numFmtId="0" fontId="4" fillId="0" borderId="11" xfId="0" applyFont="1" applyBorder="1"/>
    <xf numFmtId="0" fontId="15" fillId="0" borderId="11" xfId="0" applyFont="1" applyBorder="1"/>
    <xf numFmtId="3" fontId="4" fillId="0" borderId="11" xfId="0" applyNumberFormat="1" applyFont="1" applyBorder="1"/>
    <xf numFmtId="3" fontId="4" fillId="0" borderId="20" xfId="0" applyNumberFormat="1" applyFont="1" applyBorder="1" applyAlignment="1" applyProtection="1">
      <alignment horizontal="center" vertical="center"/>
      <protection hidden="1"/>
    </xf>
    <xf numFmtId="0" fontId="9" fillId="0" borderId="5" xfId="0" applyFont="1" applyBorder="1" applyAlignment="1">
      <alignment vertical="center"/>
    </xf>
    <xf numFmtId="3" fontId="0" fillId="0" borderId="36" xfId="2" applyNumberFormat="1" applyFont="1" applyBorder="1"/>
    <xf numFmtId="3" fontId="0" fillId="0" borderId="43" xfId="0" applyNumberFormat="1" applyBorder="1"/>
    <xf numFmtId="0" fontId="36" fillId="0" borderId="0" xfId="0" applyFont="1" applyProtection="1">
      <protection hidden="1"/>
    </xf>
    <xf numFmtId="9" fontId="10" fillId="7" borderId="32" xfId="2" applyFont="1" applyFill="1" applyBorder="1" applyAlignment="1" applyProtection="1">
      <alignment horizontal="center" vertical="center"/>
      <protection locked="0"/>
    </xf>
    <xf numFmtId="0" fontId="10" fillId="0" borderId="44" xfId="0" applyFont="1" applyBorder="1" applyAlignment="1">
      <alignment vertical="center"/>
    </xf>
    <xf numFmtId="0" fontId="9" fillId="0" borderId="45" xfId="0" applyFont="1" applyBorder="1" applyAlignment="1">
      <alignment horizontal="right" vertical="center"/>
    </xf>
    <xf numFmtId="0" fontId="4" fillId="0" borderId="45" xfId="0" applyFont="1" applyBorder="1" applyAlignment="1">
      <alignment horizontal="right" vertical="center"/>
    </xf>
    <xf numFmtId="0" fontId="10" fillId="0" borderId="45" xfId="0" applyFont="1" applyBorder="1" applyAlignment="1">
      <alignment horizontal="right" vertical="center"/>
    </xf>
    <xf numFmtId="0" fontId="10" fillId="0" borderId="44" xfId="0" applyFont="1" applyBorder="1" applyAlignment="1">
      <alignment horizontal="right" vertical="center"/>
    </xf>
    <xf numFmtId="0" fontId="9" fillId="0" borderId="44" xfId="0" applyFont="1" applyBorder="1" applyAlignment="1">
      <alignment vertical="center"/>
    </xf>
    <xf numFmtId="0" fontId="4" fillId="0" borderId="47" xfId="0" applyFont="1" applyBorder="1" applyAlignment="1">
      <alignment vertical="center"/>
    </xf>
    <xf numFmtId="0" fontId="4" fillId="0" borderId="48" xfId="0" applyFont="1" applyBorder="1" applyAlignment="1">
      <alignment vertical="center"/>
    </xf>
    <xf numFmtId="0" fontId="10" fillId="0" borderId="51" xfId="0" applyFont="1" applyBorder="1" applyAlignment="1">
      <alignment vertical="center"/>
    </xf>
    <xf numFmtId="0" fontId="5" fillId="0" borderId="51" xfId="0" applyFont="1" applyBorder="1" applyAlignment="1">
      <alignment vertical="center"/>
    </xf>
    <xf numFmtId="0" fontId="5" fillId="0" borderId="21" xfId="0" applyFont="1" applyBorder="1" applyAlignment="1">
      <alignment vertical="center"/>
    </xf>
    <xf numFmtId="0" fontId="5" fillId="0" borderId="53" xfId="0" applyFont="1" applyBorder="1" applyAlignment="1">
      <alignment vertical="center"/>
    </xf>
    <xf numFmtId="0" fontId="4" fillId="0" borderId="54" xfId="0" applyFont="1" applyBorder="1" applyAlignment="1">
      <alignment vertical="center"/>
    </xf>
    <xf numFmtId="0" fontId="5" fillId="0" borderId="26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9" fillId="0" borderId="48" xfId="0" applyFont="1" applyBorder="1" applyAlignment="1">
      <alignment vertical="center"/>
    </xf>
    <xf numFmtId="0" fontId="5" fillId="0" borderId="51" xfId="0" applyFont="1" applyBorder="1" applyAlignment="1">
      <alignment horizontal="right" vertical="center"/>
    </xf>
    <xf numFmtId="0" fontId="5" fillId="0" borderId="56" xfId="0" applyFont="1" applyBorder="1" applyAlignment="1">
      <alignment vertical="center"/>
    </xf>
    <xf numFmtId="0" fontId="9" fillId="0" borderId="24" xfId="0" applyFont="1" applyBorder="1" applyAlignment="1">
      <alignment vertical="center"/>
    </xf>
    <xf numFmtId="0" fontId="5" fillId="0" borderId="19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9" fillId="0" borderId="57" xfId="0" applyFont="1" applyBorder="1" applyAlignment="1">
      <alignment horizontal="left" vertical="center"/>
    </xf>
    <xf numFmtId="0" fontId="10" fillId="0" borderId="51" xfId="0" applyFont="1" applyBorder="1" applyAlignment="1">
      <alignment horizontal="right" vertical="center"/>
    </xf>
    <xf numFmtId="0" fontId="10" fillId="0" borderId="53" xfId="0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7" fillId="0" borderId="54" xfId="0" applyFont="1" applyBorder="1" applyAlignment="1">
      <alignment vertical="center"/>
    </xf>
    <xf numFmtId="0" fontId="0" fillId="0" borderId="2" xfId="0" applyBorder="1" applyAlignment="1">
      <alignment vertical="center"/>
    </xf>
    <xf numFmtId="0" fontId="7" fillId="0" borderId="19" xfId="0" applyFont="1" applyBorder="1" applyAlignment="1">
      <alignment vertical="center"/>
    </xf>
    <xf numFmtId="0" fontId="0" fillId="0" borderId="58" xfId="0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49" fontId="10" fillId="0" borderId="40" xfId="0" applyNumberFormat="1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3" fontId="0" fillId="0" borderId="0" xfId="2" applyNumberFormat="1" applyFont="1"/>
    <xf numFmtId="0" fontId="0" fillId="0" borderId="0" xfId="0" applyAlignment="1" applyProtection="1">
      <alignment horizontal="center"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right"/>
      <protection hidden="1"/>
    </xf>
    <xf numFmtId="3" fontId="4" fillId="0" borderId="3" xfId="0" applyNumberFormat="1" applyFont="1" applyBorder="1"/>
    <xf numFmtId="3" fontId="4" fillId="0" borderId="2" xfId="0" applyNumberFormat="1" applyFont="1" applyBorder="1"/>
    <xf numFmtId="3" fontId="0" fillId="0" borderId="34" xfId="0" applyNumberFormat="1" applyBorder="1"/>
    <xf numFmtId="0" fontId="0" fillId="0" borderId="5" xfId="0" applyBorder="1" applyAlignment="1">
      <alignment horizontal="center"/>
    </xf>
    <xf numFmtId="0" fontId="0" fillId="0" borderId="5" xfId="0" applyBorder="1"/>
    <xf numFmtId="167" fontId="0" fillId="0" borderId="5" xfId="0" applyNumberFormat="1" applyBorder="1" applyAlignment="1">
      <alignment horizontal="right"/>
    </xf>
    <xf numFmtId="3" fontId="4" fillId="0" borderId="62" xfId="0" applyNumberFormat="1" applyFont="1" applyBorder="1" applyAlignment="1" applyProtection="1">
      <alignment vertical="center"/>
      <protection hidden="1"/>
    </xf>
    <xf numFmtId="49" fontId="4" fillId="0" borderId="57" xfId="0" applyNumberFormat="1" applyFont="1" applyBorder="1" applyAlignment="1" applyProtection="1">
      <alignment horizontal="center" vertical="center"/>
      <protection hidden="1"/>
    </xf>
    <xf numFmtId="9" fontId="10" fillId="0" borderId="18" xfId="2" applyFont="1" applyBorder="1"/>
    <xf numFmtId="1" fontId="4" fillId="3" borderId="62" xfId="0" applyNumberFormat="1" applyFont="1" applyFill="1" applyBorder="1" applyAlignment="1" applyProtection="1">
      <alignment horizontal="center" vertical="center"/>
      <protection hidden="1"/>
    </xf>
    <xf numFmtId="0" fontId="4" fillId="0" borderId="13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49" fontId="9" fillId="0" borderId="7" xfId="0" applyNumberFormat="1" applyFont="1" applyBorder="1" applyAlignment="1">
      <alignment horizontal="left" vertical="center"/>
    </xf>
    <xf numFmtId="49" fontId="9" fillId="0" borderId="7" xfId="0" applyNumberFormat="1" applyFont="1" applyBorder="1" applyAlignment="1" applyProtection="1">
      <alignment horizontal="left" vertical="center"/>
      <protection hidden="1"/>
    </xf>
    <xf numFmtId="49" fontId="9" fillId="0" borderId="6" xfId="0" applyNumberFormat="1" applyFont="1" applyBorder="1" applyAlignment="1" applyProtection="1">
      <alignment horizontal="left" vertical="center"/>
      <protection hidden="1"/>
    </xf>
    <xf numFmtId="1" fontId="9" fillId="0" borderId="18" xfId="0" applyNumberFormat="1" applyFont="1" applyBorder="1" applyAlignment="1" applyProtection="1">
      <alignment horizontal="center"/>
      <protection hidden="1"/>
    </xf>
    <xf numFmtId="1" fontId="9" fillId="0" borderId="18" xfId="0" applyNumberFormat="1" applyFont="1" applyBorder="1" applyAlignment="1">
      <alignment horizontal="center"/>
    </xf>
    <xf numFmtId="166" fontId="4" fillId="0" borderId="0" xfId="0" applyNumberFormat="1" applyFont="1"/>
    <xf numFmtId="0" fontId="15" fillId="0" borderId="0" xfId="0" applyFont="1"/>
    <xf numFmtId="0" fontId="4" fillId="8" borderId="27" xfId="0" applyFont="1" applyFill="1" applyBorder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0" fontId="4" fillId="8" borderId="28" xfId="0" applyFont="1" applyFill="1" applyBorder="1" applyAlignment="1">
      <alignment horizontal="center" vertical="center"/>
    </xf>
    <xf numFmtId="3" fontId="4" fillId="0" borderId="8" xfId="0" applyNumberFormat="1" applyFont="1" applyBorder="1"/>
    <xf numFmtId="3" fontId="4" fillId="0" borderId="66" xfId="0" applyNumberFormat="1" applyFont="1" applyBorder="1"/>
    <xf numFmtId="3" fontId="4" fillId="0" borderId="67" xfId="0" applyNumberFormat="1" applyFont="1" applyBorder="1"/>
    <xf numFmtId="3" fontId="4" fillId="0" borderId="58" xfId="0" applyNumberFormat="1" applyFont="1" applyBorder="1"/>
    <xf numFmtId="3" fontId="4" fillId="0" borderId="40" xfId="0" applyNumberFormat="1" applyFont="1" applyBorder="1"/>
    <xf numFmtId="3" fontId="4" fillId="0" borderId="17" xfId="0" applyNumberFormat="1" applyFont="1" applyBorder="1"/>
    <xf numFmtId="3" fontId="4" fillId="0" borderId="68" xfId="0" applyNumberFormat="1" applyFont="1" applyBorder="1"/>
    <xf numFmtId="3" fontId="4" fillId="0" borderId="13" xfId="0" applyNumberFormat="1" applyFont="1" applyBorder="1"/>
    <xf numFmtId="0" fontId="4" fillId="0" borderId="3" xfId="0" applyFont="1" applyBorder="1" applyAlignment="1">
      <alignment horizontal="center"/>
    </xf>
    <xf numFmtId="166" fontId="4" fillId="0" borderId="3" xfId="0" applyNumberFormat="1" applyFont="1" applyBorder="1"/>
    <xf numFmtId="3" fontId="4" fillId="0" borderId="34" xfId="0" applyNumberFormat="1" applyFont="1" applyBorder="1"/>
    <xf numFmtId="0" fontId="4" fillId="0" borderId="34" xfId="0" applyFont="1" applyBorder="1" applyAlignment="1">
      <alignment horizontal="center"/>
    </xf>
    <xf numFmtId="0" fontId="4" fillId="0" borderId="62" xfId="0" applyFont="1" applyBorder="1" applyAlignment="1">
      <alignment horizontal="center" vertical="center"/>
    </xf>
    <xf numFmtId="3" fontId="4" fillId="0" borderId="69" xfId="0" applyNumberFormat="1" applyFont="1" applyBorder="1"/>
    <xf numFmtId="3" fontId="4" fillId="0" borderId="14" xfId="0" applyNumberFormat="1" applyFont="1" applyBorder="1" applyAlignment="1">
      <alignment horizontal="center"/>
    </xf>
    <xf numFmtId="0" fontId="10" fillId="0" borderId="71" xfId="0" applyFont="1" applyBorder="1" applyProtection="1">
      <protection hidden="1"/>
    </xf>
    <xf numFmtId="3" fontId="10" fillId="0" borderId="18" xfId="0" applyNumberFormat="1" applyFont="1" applyBorder="1" applyAlignment="1" applyProtection="1">
      <alignment horizontal="right" vertical="center"/>
      <protection hidden="1"/>
    </xf>
    <xf numFmtId="0" fontId="10" fillId="0" borderId="73" xfId="0" applyFont="1" applyBorder="1" applyProtection="1">
      <protection hidden="1"/>
    </xf>
    <xf numFmtId="0" fontId="10" fillId="0" borderId="0" xfId="0" applyFont="1" applyAlignment="1" applyProtection="1">
      <alignment vertical="center"/>
      <protection locked="0"/>
    </xf>
    <xf numFmtId="0" fontId="10" fillId="0" borderId="74" xfId="0" applyFont="1" applyBorder="1" applyAlignment="1" applyProtection="1">
      <alignment horizontal="center" vertical="center"/>
      <protection hidden="1"/>
    </xf>
    <xf numFmtId="0" fontId="10" fillId="0" borderId="44" xfId="0" applyFont="1" applyBorder="1" applyAlignment="1" applyProtection="1">
      <alignment vertical="center"/>
      <protection hidden="1"/>
    </xf>
    <xf numFmtId="0" fontId="9" fillId="0" borderId="75" xfId="0" applyFont="1" applyBorder="1" applyAlignment="1">
      <alignment horizontal="right" vertical="center"/>
    </xf>
    <xf numFmtId="0" fontId="9" fillId="0" borderId="44" xfId="0" applyFont="1" applyBorder="1" applyAlignment="1" applyProtection="1">
      <alignment vertical="center"/>
      <protection hidden="1"/>
    </xf>
    <xf numFmtId="0" fontId="10" fillId="0" borderId="75" xfId="0" applyFont="1" applyBorder="1" applyAlignment="1">
      <alignment horizontal="right" vertical="center"/>
    </xf>
    <xf numFmtId="3" fontId="9" fillId="0" borderId="35" xfId="0" applyNumberFormat="1" applyFont="1" applyBorder="1" applyAlignment="1" applyProtection="1">
      <alignment horizontal="center" vertical="center"/>
      <protection hidden="1"/>
    </xf>
    <xf numFmtId="166" fontId="10" fillId="0" borderId="35" xfId="0" applyNumberFormat="1" applyFont="1" applyBorder="1" applyAlignment="1" applyProtection="1">
      <alignment horizontal="center" vertical="center"/>
      <protection hidden="1"/>
    </xf>
    <xf numFmtId="166" fontId="10" fillId="7" borderId="35" xfId="0" applyNumberFormat="1" applyFont="1" applyFill="1" applyBorder="1" applyAlignment="1" applyProtection="1">
      <alignment horizontal="center" vertical="center"/>
      <protection locked="0" hidden="1"/>
    </xf>
    <xf numFmtId="0" fontId="10" fillId="0" borderId="44" xfId="0" applyFont="1" applyBorder="1" applyAlignment="1" applyProtection="1">
      <alignment horizontal="left" vertical="center"/>
      <protection hidden="1"/>
    </xf>
    <xf numFmtId="0" fontId="9" fillId="0" borderId="75" xfId="0" quotePrefix="1" applyFont="1" applyBorder="1" applyAlignment="1">
      <alignment horizontal="right" vertical="center"/>
    </xf>
    <xf numFmtId="0" fontId="9" fillId="0" borderId="44" xfId="0" applyFont="1" applyBorder="1" applyAlignment="1" applyProtection="1">
      <alignment horizontal="left" vertical="center"/>
      <protection hidden="1"/>
    </xf>
    <xf numFmtId="0" fontId="10" fillId="0" borderId="75" xfId="0" applyFont="1" applyBorder="1" applyAlignment="1" applyProtection="1">
      <alignment horizontal="right" vertical="center"/>
      <protection hidden="1"/>
    </xf>
    <xf numFmtId="0" fontId="9" fillId="0" borderId="75" xfId="0" applyFont="1" applyBorder="1" applyAlignment="1" applyProtection="1">
      <alignment horizontal="right" vertical="center"/>
      <protection hidden="1"/>
    </xf>
    <xf numFmtId="0" fontId="10" fillId="0" borderId="76" xfId="0" applyFont="1" applyBorder="1" applyAlignment="1" applyProtection="1">
      <alignment horizontal="center" vertical="center"/>
      <protection hidden="1"/>
    </xf>
    <xf numFmtId="0" fontId="10" fillId="0" borderId="77" xfId="0" applyFont="1" applyBorder="1" applyAlignment="1" applyProtection="1">
      <alignment vertical="center"/>
      <protection hidden="1"/>
    </xf>
    <xf numFmtId="0" fontId="9" fillId="0" borderId="28" xfId="0" applyFont="1" applyBorder="1" applyAlignment="1">
      <alignment horizontal="right" vertical="center"/>
    </xf>
    <xf numFmtId="0" fontId="10" fillId="0" borderId="14" xfId="0" applyFont="1" applyBorder="1" applyAlignment="1" applyProtection="1">
      <alignment horizontal="center" vertical="center"/>
      <protection hidden="1"/>
    </xf>
    <xf numFmtId="0" fontId="9" fillId="0" borderId="34" xfId="0" applyFont="1" applyBorder="1" applyAlignment="1" applyProtection="1">
      <alignment horizontal="left" vertical="center"/>
      <protection hidden="1"/>
    </xf>
    <xf numFmtId="0" fontId="9" fillId="0" borderId="69" xfId="0" applyFont="1" applyBorder="1" applyAlignment="1" applyProtection="1">
      <alignment horizontal="left" vertical="center"/>
      <protection hidden="1"/>
    </xf>
    <xf numFmtId="166" fontId="10" fillId="0" borderId="55" xfId="0" applyNumberFormat="1" applyFont="1" applyBorder="1" applyAlignment="1" applyProtection="1">
      <alignment horizontal="center" vertical="center"/>
      <protection hidden="1"/>
    </xf>
    <xf numFmtId="167" fontId="10" fillId="0" borderId="0" xfId="0" applyNumberFormat="1" applyFont="1" applyAlignment="1">
      <alignment horizontal="center"/>
    </xf>
    <xf numFmtId="164" fontId="10" fillId="0" borderId="0" xfId="0" applyNumberFormat="1" applyFont="1" applyAlignment="1" applyProtection="1">
      <alignment horizontal="right"/>
      <protection hidden="1"/>
    </xf>
    <xf numFmtId="0" fontId="33" fillId="0" borderId="0" xfId="0" applyFont="1" applyProtection="1">
      <protection hidden="1"/>
    </xf>
    <xf numFmtId="3" fontId="10" fillId="0" borderId="32" xfId="0" applyNumberFormat="1" applyFont="1" applyBorder="1" applyAlignment="1" applyProtection="1">
      <alignment vertical="center"/>
      <protection hidden="1"/>
    </xf>
    <xf numFmtId="0" fontId="10" fillId="0" borderId="78" xfId="0" applyFont="1" applyBorder="1" applyAlignment="1">
      <alignment vertical="center"/>
    </xf>
    <xf numFmtId="0" fontId="10" fillId="0" borderId="45" xfId="0" quotePrefix="1" applyFont="1" applyBorder="1" applyAlignment="1">
      <alignment horizontal="right" vertical="center"/>
    </xf>
    <xf numFmtId="9" fontId="10" fillId="0" borderId="45" xfId="0" applyNumberFormat="1" applyFont="1" applyBorder="1" applyAlignment="1">
      <alignment horizontal="left" vertical="center"/>
    </xf>
    <xf numFmtId="166" fontId="10" fillId="0" borderId="45" xfId="0" applyNumberFormat="1" applyFont="1" applyBorder="1" applyAlignment="1" applyProtection="1">
      <alignment horizontal="right" vertical="center"/>
      <protection locked="0"/>
    </xf>
    <xf numFmtId="0" fontId="10" fillId="0" borderId="14" xfId="0" applyFont="1" applyBorder="1" applyAlignment="1">
      <alignment horizontal="center" vertical="center"/>
    </xf>
    <xf numFmtId="0" fontId="10" fillId="0" borderId="0" xfId="0" applyFont="1" applyAlignment="1" applyProtection="1">
      <alignment horizontal="left"/>
      <protection locked="0"/>
    </xf>
    <xf numFmtId="0" fontId="10" fillId="0" borderId="26" xfId="0" applyFont="1" applyBorder="1" applyAlignment="1" applyProtection="1">
      <alignment horizontal="left" vertical="center"/>
      <protection locked="0"/>
    </xf>
    <xf numFmtId="0" fontId="10" fillId="0" borderId="27" xfId="0" applyFont="1" applyBorder="1" applyAlignment="1">
      <alignment horizontal="right" vertical="center"/>
    </xf>
    <xf numFmtId="0" fontId="9" fillId="0" borderId="79" xfId="0" applyFont="1" applyBorder="1" applyAlignment="1">
      <alignment vertical="center"/>
    </xf>
    <xf numFmtId="1" fontId="10" fillId="0" borderId="3" xfId="0" applyNumberFormat="1" applyFont="1" applyBorder="1" applyAlignment="1">
      <alignment horizontal="center" vertical="center"/>
    </xf>
    <xf numFmtId="164" fontId="5" fillId="7" borderId="48" xfId="0" applyNumberFormat="1" applyFont="1" applyFill="1" applyBorder="1" applyAlignment="1" applyProtection="1">
      <alignment horizontal="center" vertical="center"/>
      <protection locked="0"/>
    </xf>
    <xf numFmtId="164" fontId="5" fillId="7" borderId="50" xfId="0" applyNumberFormat="1" applyFont="1" applyFill="1" applyBorder="1" applyAlignment="1" applyProtection="1">
      <alignment horizontal="center" vertical="center"/>
      <protection locked="0"/>
    </xf>
    <xf numFmtId="0" fontId="4" fillId="0" borderId="81" xfId="0" applyFont="1" applyBorder="1" applyAlignment="1" applyProtection="1">
      <alignment horizontal="left" vertical="center"/>
      <protection hidden="1"/>
    </xf>
    <xf numFmtId="0" fontId="4" fillId="0" borderId="82" xfId="0" applyFont="1" applyBorder="1" applyAlignment="1" applyProtection="1">
      <alignment horizontal="left" vertical="center"/>
      <protection hidden="1"/>
    </xf>
    <xf numFmtId="0" fontId="9" fillId="0" borderId="82" xfId="0" applyFont="1" applyBorder="1" applyAlignment="1" applyProtection="1">
      <alignment horizontal="center" vertical="center"/>
      <protection hidden="1"/>
    </xf>
    <xf numFmtId="0" fontId="10" fillId="0" borderId="27" xfId="0" applyFont="1" applyBorder="1" applyAlignment="1">
      <alignment vertical="center"/>
    </xf>
    <xf numFmtId="0" fontId="10" fillId="0" borderId="28" xfId="0" applyFont="1" applyBorder="1" applyAlignment="1">
      <alignment vertical="center"/>
    </xf>
    <xf numFmtId="0" fontId="10" fillId="0" borderId="28" xfId="0" applyFont="1" applyBorder="1" applyAlignment="1" applyProtection="1">
      <alignment vertical="center"/>
      <protection locked="0"/>
    </xf>
    <xf numFmtId="0" fontId="10" fillId="0" borderId="34" xfId="0" applyFont="1" applyBorder="1" applyAlignment="1" applyProtection="1">
      <alignment vertical="center"/>
      <protection locked="0"/>
    </xf>
    <xf numFmtId="0" fontId="10" fillId="0" borderId="69" xfId="0" applyFont="1" applyBorder="1" applyAlignment="1" applyProtection="1">
      <alignment vertical="center"/>
      <protection locked="0"/>
    </xf>
    <xf numFmtId="0" fontId="10" fillId="0" borderId="71" xfId="0" applyFont="1" applyBorder="1" applyAlignment="1" applyProtection="1">
      <alignment vertical="center"/>
      <protection hidden="1"/>
    </xf>
    <xf numFmtId="0" fontId="10" fillId="0" borderId="84" xfId="0" applyFont="1" applyBorder="1" applyAlignment="1" applyProtection="1">
      <alignment horizontal="right" vertical="center"/>
      <protection hidden="1"/>
    </xf>
    <xf numFmtId="0" fontId="10" fillId="0" borderId="73" xfId="0" applyFont="1" applyBorder="1" applyAlignment="1">
      <alignment vertical="center"/>
    </xf>
    <xf numFmtId="0" fontId="10" fillId="0" borderId="85" xfId="0" applyFont="1" applyBorder="1" applyAlignment="1">
      <alignment horizontal="right" vertical="center"/>
    </xf>
    <xf numFmtId="0" fontId="10" fillId="0" borderId="18" xfId="0" applyFont="1" applyBorder="1" applyAlignment="1" applyProtection="1">
      <alignment horizontal="center" vertical="center"/>
      <protection hidden="1"/>
    </xf>
    <xf numFmtId="0" fontId="4" fillId="0" borderId="27" xfId="0" applyFont="1" applyBorder="1" applyProtection="1">
      <protection hidden="1"/>
    </xf>
    <xf numFmtId="0" fontId="10" fillId="0" borderId="31" xfId="0" applyFont="1" applyBorder="1" applyAlignment="1">
      <alignment horizontal="right" vertical="center"/>
    </xf>
    <xf numFmtId="0" fontId="10" fillId="0" borderId="34" xfId="0" applyFont="1" applyBorder="1" applyAlignment="1">
      <alignment vertical="center"/>
    </xf>
    <xf numFmtId="0" fontId="0" fillId="0" borderId="85" xfId="0" applyBorder="1"/>
    <xf numFmtId="0" fontId="0" fillId="0" borderId="84" xfId="0" applyBorder="1"/>
    <xf numFmtId="0" fontId="10" fillId="0" borderId="86" xfId="0" applyFont="1" applyBorder="1" applyProtection="1">
      <protection hidden="1"/>
    </xf>
    <xf numFmtId="0" fontId="0" fillId="0" borderId="87" xfId="0" applyBorder="1"/>
    <xf numFmtId="17" fontId="26" fillId="7" borderId="46" xfId="0" applyNumberFormat="1" applyFont="1" applyFill="1" applyBorder="1" applyAlignment="1" applyProtection="1">
      <alignment horizontal="center" vertical="center"/>
      <protection locked="0"/>
    </xf>
    <xf numFmtId="0" fontId="2" fillId="0" borderId="42" xfId="0" applyFont="1" applyBorder="1" applyAlignment="1">
      <alignment horizontal="center" vertical="center"/>
    </xf>
    <xf numFmtId="17" fontId="26" fillId="0" borderId="46" xfId="0" applyNumberFormat="1" applyFont="1" applyBorder="1" applyAlignment="1" applyProtection="1">
      <alignment horizontal="center" vertical="center"/>
      <protection locked="0"/>
    </xf>
    <xf numFmtId="166" fontId="10" fillId="0" borderId="44" xfId="0" applyNumberFormat="1" applyFont="1" applyBorder="1" applyAlignment="1" applyProtection="1">
      <alignment horizontal="right" vertical="center"/>
      <protection locked="0"/>
    </xf>
    <xf numFmtId="0" fontId="10" fillId="0" borderId="79" xfId="0" applyFont="1" applyBorder="1" applyAlignment="1">
      <alignment horizontal="center" vertical="center"/>
    </xf>
    <xf numFmtId="0" fontId="10" fillId="0" borderId="64" xfId="0" applyFont="1" applyBorder="1" applyAlignment="1">
      <alignment vertical="center"/>
    </xf>
    <xf numFmtId="0" fontId="10" fillId="0" borderId="11" xfId="0" applyFont="1" applyBorder="1" applyAlignment="1">
      <alignment vertical="center"/>
    </xf>
    <xf numFmtId="0" fontId="10" fillId="0" borderId="14" xfId="0" applyFont="1" applyBorder="1" applyAlignment="1" applyProtection="1">
      <alignment horizontal="left" vertical="center"/>
      <protection locked="0"/>
    </xf>
    <xf numFmtId="0" fontId="10" fillId="0" borderId="34" xfId="0" applyFont="1" applyBorder="1" applyAlignment="1" applyProtection="1">
      <alignment horizontal="left" vertical="center"/>
      <protection locked="0"/>
    </xf>
    <xf numFmtId="0" fontId="10" fillId="0" borderId="26" xfId="0" applyFont="1" applyBorder="1" applyAlignment="1" applyProtection="1">
      <alignment vertical="center"/>
      <protection locked="0"/>
    </xf>
    <xf numFmtId="0" fontId="10" fillId="0" borderId="28" xfId="0" applyFont="1" applyBorder="1" applyAlignment="1" applyProtection="1">
      <alignment horizontal="left"/>
      <protection locked="0"/>
    </xf>
    <xf numFmtId="0" fontId="10" fillId="0" borderId="69" xfId="0" applyFont="1" applyBorder="1" applyAlignment="1" applyProtection="1">
      <alignment horizontal="left" vertical="center"/>
      <protection locked="0"/>
    </xf>
    <xf numFmtId="164" fontId="10" fillId="7" borderId="18" xfId="0" applyNumberFormat="1" applyFont="1" applyFill="1" applyBorder="1" applyAlignment="1" applyProtection="1">
      <alignment horizontal="center" vertical="center"/>
      <protection locked="0"/>
    </xf>
    <xf numFmtId="0" fontId="10" fillId="0" borderId="27" xfId="0" applyFont="1" applyBorder="1" applyAlignment="1" applyProtection="1">
      <alignment vertical="center"/>
      <protection locked="0"/>
    </xf>
    <xf numFmtId="0" fontId="10" fillId="0" borderId="3" xfId="0" applyFont="1" applyBorder="1" applyAlignment="1">
      <alignment horizontal="left" vertical="center"/>
    </xf>
    <xf numFmtId="0" fontId="6" fillId="0" borderId="0" xfId="0" applyFont="1" applyAlignment="1">
      <alignment horizontal="right" vertical="center"/>
    </xf>
    <xf numFmtId="0" fontId="6" fillId="2" borderId="0" xfId="0" applyFont="1" applyFill="1" applyAlignment="1">
      <alignment horizontal="center" vertical="center"/>
    </xf>
    <xf numFmtId="166" fontId="10" fillId="0" borderId="35" xfId="0" applyNumberFormat="1" applyFont="1" applyBorder="1" applyAlignment="1">
      <alignment horizontal="center" vertical="center"/>
    </xf>
    <xf numFmtId="20" fontId="4" fillId="0" borderId="13" xfId="0" applyNumberFormat="1" applyFont="1" applyBorder="1"/>
    <xf numFmtId="0" fontId="0" fillId="0" borderId="2" xfId="0" applyBorder="1"/>
    <xf numFmtId="0" fontId="45" fillId="0" borderId="0" xfId="0" applyFont="1" applyAlignment="1">
      <alignment vertical="center"/>
    </xf>
    <xf numFmtId="0" fontId="46" fillId="0" borderId="0" xfId="0" applyFont="1"/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8" fillId="0" borderId="0" xfId="0" applyFont="1"/>
    <xf numFmtId="0" fontId="48" fillId="0" borderId="0" xfId="0" applyFont="1" applyAlignment="1">
      <alignment vertical="center"/>
    </xf>
    <xf numFmtId="0" fontId="34" fillId="0" borderId="0" xfId="0" applyFont="1"/>
    <xf numFmtId="0" fontId="5" fillId="0" borderId="0" xfId="0" applyFont="1" applyProtection="1">
      <protection hidden="1"/>
    </xf>
    <xf numFmtId="0" fontId="4" fillId="0" borderId="0" xfId="0" applyFont="1" applyProtection="1">
      <protection hidden="1"/>
    </xf>
    <xf numFmtId="3" fontId="10" fillId="7" borderId="18" xfId="0" applyNumberFormat="1" applyFont="1" applyFill="1" applyBorder="1" applyAlignment="1" applyProtection="1">
      <alignment horizontal="center" vertical="center"/>
      <protection locked="0" hidden="1"/>
    </xf>
    <xf numFmtId="0" fontId="10" fillId="0" borderId="14" xfId="0" applyFont="1" applyBorder="1" applyAlignment="1" applyProtection="1">
      <alignment vertical="center"/>
      <protection locked="0"/>
    </xf>
    <xf numFmtId="0" fontId="2" fillId="7" borderId="36" xfId="0" applyFont="1" applyFill="1" applyBorder="1" applyAlignment="1" applyProtection="1">
      <alignment vertical="center"/>
      <protection locked="0"/>
    </xf>
    <xf numFmtId="0" fontId="5" fillId="0" borderId="21" xfId="0" applyFont="1" applyBorder="1" applyAlignment="1">
      <alignment horizontal="center" vertical="center"/>
    </xf>
    <xf numFmtId="0" fontId="5" fillId="0" borderId="0" xfId="0" applyFont="1" applyAlignment="1" applyProtection="1">
      <alignment horizontal="right" vertical="center"/>
      <protection hidden="1"/>
    </xf>
    <xf numFmtId="3" fontId="0" fillId="0" borderId="0" xfId="0" applyNumberFormat="1" applyProtection="1">
      <protection hidden="1"/>
    </xf>
    <xf numFmtId="1" fontId="9" fillId="0" borderId="18" xfId="0" applyNumberFormat="1" applyFont="1" applyBorder="1" applyAlignment="1">
      <alignment horizontal="center" vertical="center"/>
    </xf>
    <xf numFmtId="1" fontId="10" fillId="7" borderId="18" xfId="0" applyNumberFormat="1" applyFont="1" applyFill="1" applyBorder="1" applyAlignment="1" applyProtection="1">
      <alignment horizontal="center" vertical="center"/>
      <protection locked="0"/>
    </xf>
    <xf numFmtId="0" fontId="5" fillId="0" borderId="24" xfId="0" applyFont="1" applyBorder="1" applyAlignment="1">
      <alignment vertical="center"/>
    </xf>
    <xf numFmtId="1" fontId="10" fillId="7" borderId="32" xfId="0" applyNumberFormat="1" applyFont="1" applyFill="1" applyBorder="1" applyAlignment="1" applyProtection="1">
      <alignment horizontal="center" vertical="center"/>
      <protection locked="0"/>
    </xf>
    <xf numFmtId="0" fontId="10" fillId="7" borderId="36" xfId="0" applyFont="1" applyFill="1" applyBorder="1" applyAlignment="1" applyProtection="1">
      <alignment vertical="center"/>
      <protection locked="0"/>
    </xf>
    <xf numFmtId="1" fontId="10" fillId="7" borderId="90" xfId="0" applyNumberFormat="1" applyFont="1" applyFill="1" applyBorder="1" applyAlignment="1" applyProtection="1">
      <alignment horizontal="center" vertical="center"/>
      <protection locked="0"/>
    </xf>
    <xf numFmtId="0" fontId="9" fillId="0" borderId="14" xfId="0" applyFont="1" applyBorder="1" applyAlignment="1">
      <alignment vertical="center"/>
    </xf>
    <xf numFmtId="0" fontId="10" fillId="7" borderId="36" xfId="0" applyFont="1" applyFill="1" applyBorder="1" applyAlignment="1" applyProtection="1">
      <alignment horizontal="left" vertical="center"/>
      <protection locked="0"/>
    </xf>
    <xf numFmtId="0" fontId="10" fillId="7" borderId="93" xfId="0" applyFont="1" applyFill="1" applyBorder="1" applyAlignment="1" applyProtection="1">
      <alignment horizontal="left" vertical="center"/>
      <protection locked="0"/>
    </xf>
    <xf numFmtId="0" fontId="9" fillId="8" borderId="53" xfId="0" applyFont="1" applyFill="1" applyBorder="1" applyAlignment="1" applyProtection="1">
      <alignment vertical="center"/>
      <protection hidden="1"/>
    </xf>
    <xf numFmtId="0" fontId="9" fillId="0" borderId="4" xfId="0" applyFont="1" applyBorder="1" applyAlignment="1">
      <alignment vertical="center"/>
    </xf>
    <xf numFmtId="0" fontId="9" fillId="0" borderId="37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55" xfId="0" applyFont="1" applyBorder="1" applyAlignment="1">
      <alignment horizontal="center" vertical="center"/>
    </xf>
    <xf numFmtId="0" fontId="9" fillId="0" borderId="92" xfId="0" applyFont="1" applyBorder="1" applyAlignment="1">
      <alignment horizontal="center" vertical="center"/>
    </xf>
    <xf numFmtId="0" fontId="9" fillId="0" borderId="56" xfId="0" applyFont="1" applyBorder="1" applyAlignment="1">
      <alignment horizontal="center" vertical="center"/>
    </xf>
    <xf numFmtId="0" fontId="10" fillId="0" borderId="26" xfId="0" applyFont="1" applyBorder="1" applyAlignment="1">
      <alignment vertical="center"/>
    </xf>
    <xf numFmtId="3" fontId="0" fillId="0" borderId="43" xfId="0" applyNumberFormat="1" applyBorder="1" applyAlignment="1">
      <alignment vertical="center"/>
    </xf>
    <xf numFmtId="3" fontId="10" fillId="0" borderId="43" xfId="0" applyNumberFormat="1" applyFont="1" applyBorder="1" applyAlignment="1" applyProtection="1">
      <alignment vertical="center"/>
      <protection hidden="1"/>
    </xf>
    <xf numFmtId="0" fontId="9" fillId="3" borderId="1" xfId="0" applyFont="1" applyFill="1" applyBorder="1" applyAlignment="1">
      <alignment horizontal="center" vertical="center"/>
    </xf>
    <xf numFmtId="0" fontId="36" fillId="0" borderId="0" xfId="0" applyFont="1"/>
    <xf numFmtId="17" fontId="0" fillId="3" borderId="0" xfId="0" applyNumberFormat="1" applyFill="1"/>
    <xf numFmtId="166" fontId="36" fillId="0" borderId="0" xfId="0" applyNumberFormat="1" applyFont="1"/>
    <xf numFmtId="1" fontId="36" fillId="0" borderId="0" xfId="0" applyNumberFormat="1" applyFont="1" applyAlignment="1">
      <alignment horizontal="center"/>
    </xf>
    <xf numFmtId="1" fontId="46" fillId="0" borderId="0" xfId="0" applyNumberFormat="1" applyFont="1"/>
    <xf numFmtId="0" fontId="10" fillId="0" borderId="3" xfId="0" applyFont="1" applyBorder="1" applyAlignment="1" applyProtection="1">
      <alignment vertical="center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10" fillId="2" borderId="0" xfId="0" applyFont="1" applyFill="1" applyAlignment="1" applyProtection="1">
      <alignment vertical="center"/>
      <protection locked="0"/>
    </xf>
    <xf numFmtId="0" fontId="10" fillId="0" borderId="31" xfId="0" applyFont="1" applyBorder="1" applyAlignment="1" applyProtection="1">
      <alignment vertical="center"/>
      <protection locked="0"/>
    </xf>
    <xf numFmtId="0" fontId="10" fillId="2" borderId="31" xfId="0" applyFont="1" applyFill="1" applyBorder="1" applyAlignment="1" applyProtection="1">
      <alignment vertical="center"/>
      <protection locked="0"/>
    </xf>
    <xf numFmtId="0" fontId="10" fillId="0" borderId="59" xfId="0" applyFont="1" applyBorder="1" applyAlignment="1" applyProtection="1">
      <alignment vertical="center"/>
      <protection locked="0"/>
    </xf>
    <xf numFmtId="0" fontId="48" fillId="0" borderId="0" xfId="0" applyFont="1" applyAlignment="1" applyProtection="1">
      <alignment vertical="center"/>
      <protection locked="0"/>
    </xf>
    <xf numFmtId="0" fontId="10" fillId="0" borderId="0" xfId="2" applyNumberFormat="1" applyFont="1" applyAlignment="1" applyProtection="1">
      <alignment vertical="center"/>
      <protection locked="0"/>
    </xf>
    <xf numFmtId="1" fontId="36" fillId="0" borderId="0" xfId="0" applyNumberFormat="1" applyFont="1" applyAlignment="1">
      <alignment horizontal="left"/>
    </xf>
    <xf numFmtId="0" fontId="6" fillId="7" borderId="18" xfId="0" applyFont="1" applyFill="1" applyBorder="1" applyAlignment="1" applyProtection="1">
      <alignment horizontal="center" vertical="center"/>
      <protection locked="0"/>
    </xf>
    <xf numFmtId="0" fontId="10" fillId="0" borderId="28" xfId="0" applyFont="1" applyBorder="1" applyAlignment="1" applyProtection="1">
      <alignment horizontal="left" vertical="center"/>
      <protection hidden="1"/>
    </xf>
    <xf numFmtId="0" fontId="10" fillId="0" borderId="28" xfId="0" applyFont="1" applyBorder="1" applyAlignment="1" applyProtection="1">
      <alignment vertical="center"/>
      <protection hidden="1"/>
    </xf>
    <xf numFmtId="0" fontId="10" fillId="0" borderId="17" xfId="0" applyFont="1" applyBorder="1" applyAlignment="1">
      <alignment horizontal="left" vertical="center"/>
    </xf>
    <xf numFmtId="0" fontId="50" fillId="0" borderId="27" xfId="0" applyFont="1" applyBorder="1" applyAlignment="1" applyProtection="1">
      <alignment vertical="center"/>
      <protection hidden="1"/>
    </xf>
    <xf numFmtId="0" fontId="45" fillId="0" borderId="27" xfId="0" applyFont="1" applyBorder="1" applyAlignment="1" applyProtection="1">
      <alignment vertical="center"/>
      <protection locked="0"/>
    </xf>
    <xf numFmtId="0" fontId="46" fillId="0" borderId="27" xfId="0" applyFont="1" applyBorder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9" fillId="0" borderId="28" xfId="0" applyFont="1" applyBorder="1" applyAlignment="1" applyProtection="1">
      <alignment vertical="center"/>
      <protection locked="0"/>
    </xf>
    <xf numFmtId="0" fontId="9" fillId="0" borderId="27" xfId="0" applyFont="1" applyBorder="1" applyAlignment="1" applyProtection="1">
      <alignment vertical="center"/>
      <protection locked="0"/>
    </xf>
    <xf numFmtId="0" fontId="36" fillId="0" borderId="27" xfId="0" applyFont="1" applyBorder="1" applyAlignment="1" applyProtection="1">
      <alignment vertical="center"/>
      <protection locked="0"/>
    </xf>
    <xf numFmtId="0" fontId="10" fillId="7" borderId="100" xfId="0" applyFont="1" applyFill="1" applyBorder="1" applyAlignment="1" applyProtection="1">
      <alignment vertical="center"/>
      <protection locked="0"/>
    </xf>
    <xf numFmtId="17" fontId="9" fillId="0" borderId="0" xfId="0" applyNumberFormat="1" applyFont="1"/>
    <xf numFmtId="1" fontId="9" fillId="0" borderId="0" xfId="0" applyNumberFormat="1" applyFont="1"/>
    <xf numFmtId="0" fontId="9" fillId="0" borderId="0" xfId="0" applyFont="1" applyAlignment="1">
      <alignment horizontal="right"/>
    </xf>
    <xf numFmtId="0" fontId="10" fillId="10" borderId="0" xfId="0" applyFont="1" applyFill="1"/>
    <xf numFmtId="3" fontId="10" fillId="10" borderId="0" xfId="0" applyNumberFormat="1" applyFont="1" applyFill="1"/>
    <xf numFmtId="0" fontId="2" fillId="0" borderId="0" xfId="0" applyFont="1" applyAlignment="1" applyProtection="1">
      <alignment horizontal="right"/>
      <protection hidden="1"/>
    </xf>
    <xf numFmtId="0" fontId="2" fillId="0" borderId="0" xfId="0" applyFont="1" applyAlignment="1">
      <alignment horizontal="right"/>
    </xf>
    <xf numFmtId="0" fontId="2" fillId="0" borderId="0" xfId="0" applyFont="1" applyAlignment="1" applyProtection="1">
      <alignment horizontal="right" vertical="center"/>
      <protection hidden="1"/>
    </xf>
    <xf numFmtId="0" fontId="9" fillId="0" borderId="104" xfId="0" applyFont="1" applyBorder="1" applyAlignment="1">
      <alignment vertical="center"/>
    </xf>
    <xf numFmtId="0" fontId="9" fillId="0" borderId="104" xfId="0" applyFont="1" applyBorder="1" applyAlignment="1">
      <alignment horizontal="right" vertical="center"/>
    </xf>
    <xf numFmtId="166" fontId="9" fillId="0" borderId="105" xfId="0" applyNumberFormat="1" applyFont="1" applyBorder="1" applyAlignment="1" applyProtection="1">
      <alignment horizontal="right" vertical="center"/>
      <protection locked="0"/>
    </xf>
    <xf numFmtId="0" fontId="10" fillId="0" borderId="77" xfId="0" applyFont="1" applyBorder="1" applyAlignment="1">
      <alignment vertical="center"/>
    </xf>
    <xf numFmtId="0" fontId="10" fillId="0" borderId="78" xfId="0" applyFont="1" applyBorder="1" applyAlignment="1">
      <alignment horizontal="right" vertical="center"/>
    </xf>
    <xf numFmtId="1" fontId="10" fillId="0" borderId="0" xfId="0" applyNumberFormat="1" applyFont="1" applyAlignment="1" applyProtection="1">
      <alignment horizontal="center" vertical="center"/>
      <protection locked="0"/>
    </xf>
    <xf numFmtId="0" fontId="45" fillId="0" borderId="8" xfId="0" applyFont="1" applyBorder="1" applyAlignment="1">
      <alignment vertical="center"/>
    </xf>
    <xf numFmtId="20" fontId="4" fillId="0" borderId="26" xfId="0" applyNumberFormat="1" applyFont="1" applyBorder="1"/>
    <xf numFmtId="0" fontId="10" fillId="0" borderId="31" xfId="0" applyFont="1" applyBorder="1" applyAlignment="1">
      <alignment vertical="center"/>
    </xf>
    <xf numFmtId="0" fontId="10" fillId="0" borderId="31" xfId="0" applyFont="1" applyBorder="1" applyAlignment="1" applyProtection="1">
      <alignment vertical="center"/>
      <protection hidden="1"/>
    </xf>
    <xf numFmtId="0" fontId="48" fillId="0" borderId="26" xfId="0" applyFont="1" applyBorder="1" applyAlignment="1">
      <alignment vertical="center"/>
    </xf>
    <xf numFmtId="0" fontId="10" fillId="0" borderId="57" xfId="0" applyFont="1" applyBorder="1" applyAlignment="1" applyProtection="1">
      <alignment vertical="center"/>
      <protection locked="0"/>
    </xf>
    <xf numFmtId="0" fontId="10" fillId="0" borderId="42" xfId="0" applyFont="1" applyBorder="1" applyAlignment="1" applyProtection="1">
      <alignment vertical="center"/>
      <protection locked="0"/>
    </xf>
    <xf numFmtId="0" fontId="10" fillId="0" borderId="54" xfId="0" applyFont="1" applyBorder="1" applyAlignment="1" applyProtection="1">
      <alignment vertical="center"/>
      <protection locked="0"/>
    </xf>
    <xf numFmtId="0" fontId="10" fillId="0" borderId="10" xfId="0" applyFont="1" applyBorder="1" applyAlignment="1" applyProtection="1">
      <alignment vertical="center"/>
      <protection locked="0"/>
    </xf>
    <xf numFmtId="0" fontId="50" fillId="0" borderId="26" xfId="0" applyFont="1" applyBorder="1" applyAlignment="1" applyProtection="1">
      <alignment vertical="center"/>
      <protection hidden="1"/>
    </xf>
    <xf numFmtId="0" fontId="10" fillId="0" borderId="72" xfId="0" applyFont="1" applyBorder="1" applyAlignment="1" applyProtection="1">
      <alignment horizontal="left" vertical="center"/>
      <protection hidden="1"/>
    </xf>
    <xf numFmtId="0" fontId="10" fillId="0" borderId="70" xfId="0" applyFont="1" applyBorder="1" applyAlignment="1" applyProtection="1">
      <alignment horizontal="left" vertical="center"/>
      <protection hidden="1"/>
    </xf>
    <xf numFmtId="0" fontId="10" fillId="0" borderId="72" xfId="0" applyFont="1" applyBorder="1" applyAlignment="1" applyProtection="1">
      <alignment vertical="center"/>
      <protection hidden="1"/>
    </xf>
    <xf numFmtId="0" fontId="10" fillId="0" borderId="73" xfId="0" applyFont="1" applyBorder="1" applyAlignment="1">
      <alignment horizontal="left" vertical="center"/>
    </xf>
    <xf numFmtId="0" fontId="2" fillId="0" borderId="0" xfId="0" applyFont="1" applyProtection="1">
      <protection hidden="1"/>
    </xf>
    <xf numFmtId="0" fontId="5" fillId="7" borderId="117" xfId="0" applyFont="1" applyFill="1" applyBorder="1" applyAlignment="1" applyProtection="1">
      <alignment vertical="center"/>
      <protection locked="0"/>
    </xf>
    <xf numFmtId="0" fontId="5" fillId="7" borderId="126" xfId="0" applyFont="1" applyFill="1" applyBorder="1" applyAlignment="1" applyProtection="1">
      <alignment vertical="center"/>
      <protection locked="0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3" fontId="5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2" fillId="0" borderId="0" xfId="0" applyFont="1" applyAlignment="1" applyProtection="1">
      <alignment vertical="center"/>
      <protection hidden="1"/>
    </xf>
    <xf numFmtId="3" fontId="2" fillId="0" borderId="0" xfId="0" applyNumberFormat="1" applyFont="1" applyAlignment="1" applyProtection="1">
      <alignment vertical="center"/>
      <protection hidden="1"/>
    </xf>
    <xf numFmtId="166" fontId="9" fillId="0" borderId="35" xfId="0" applyNumberFormat="1" applyFont="1" applyBorder="1" applyAlignment="1" applyProtection="1">
      <alignment horizontal="center" vertical="center"/>
      <protection hidden="1"/>
    </xf>
    <xf numFmtId="1" fontId="10" fillId="3" borderId="18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>
      <alignment horizontal="right" vertical="center"/>
    </xf>
    <xf numFmtId="0" fontId="10" fillId="0" borderId="34" xfId="0" quotePrefix="1" applyFont="1" applyBorder="1" applyAlignment="1">
      <alignment horizontal="right" vertical="center"/>
    </xf>
    <xf numFmtId="3" fontId="10" fillId="0" borderId="9" xfId="0" applyNumberFormat="1" applyFont="1" applyBorder="1" applyAlignment="1">
      <alignment horizontal="center" vertical="center"/>
    </xf>
    <xf numFmtId="3" fontId="10" fillId="0" borderId="42" xfId="0" quotePrefix="1" applyNumberFormat="1" applyFont="1" applyBorder="1" applyAlignment="1">
      <alignment horizontal="center" vertical="center"/>
    </xf>
    <xf numFmtId="3" fontId="10" fillId="0" borderId="143" xfId="0" applyNumberFormat="1" applyFont="1" applyBorder="1" applyAlignment="1">
      <alignment horizontal="center" vertical="center"/>
    </xf>
    <xf numFmtId="0" fontId="10" fillId="0" borderId="145" xfId="0" applyFont="1" applyBorder="1" applyAlignment="1" applyProtection="1">
      <alignment vertical="center"/>
      <protection hidden="1"/>
    </xf>
    <xf numFmtId="0" fontId="10" fillId="0" borderId="145" xfId="0" quotePrefix="1" applyFont="1" applyBorder="1" applyAlignment="1">
      <alignment vertical="center"/>
    </xf>
    <xf numFmtId="0" fontId="10" fillId="0" borderId="145" xfId="0" applyFont="1" applyBorder="1" applyAlignment="1">
      <alignment horizontal="right" vertical="center"/>
    </xf>
    <xf numFmtId="0" fontId="10" fillId="0" borderId="145" xfId="0" applyFont="1" applyBorder="1" applyAlignment="1">
      <alignment vertical="center"/>
    </xf>
    <xf numFmtId="0" fontId="9" fillId="0" borderId="145" xfId="0" quotePrefix="1" applyFont="1" applyBorder="1" applyAlignment="1">
      <alignment horizontal="right" vertical="center"/>
    </xf>
    <xf numFmtId="0" fontId="10" fillId="0" borderId="145" xfId="0" quotePrefix="1" applyFont="1" applyBorder="1" applyAlignment="1">
      <alignment horizontal="right" vertical="center"/>
    </xf>
    <xf numFmtId="0" fontId="0" fillId="0" borderId="60" xfId="0" applyBorder="1"/>
    <xf numFmtId="0" fontId="0" fillId="0" borderId="31" xfId="0" applyBorder="1"/>
    <xf numFmtId="0" fontId="44" fillId="0" borderId="143" xfId="0" applyFont="1" applyBorder="1" applyAlignment="1" applyProtection="1">
      <alignment horizontal="left" vertical="center"/>
      <protection hidden="1"/>
    </xf>
    <xf numFmtId="0" fontId="10" fillId="0" borderId="143" xfId="0" applyFont="1" applyBorder="1" applyAlignment="1">
      <alignment horizontal="right" vertical="center"/>
    </xf>
    <xf numFmtId="0" fontId="10" fillId="0" borderId="143" xfId="0" quotePrefix="1" applyFont="1" applyBorder="1" applyAlignment="1">
      <alignment horizontal="right" vertical="center"/>
    </xf>
    <xf numFmtId="0" fontId="10" fillId="0" borderId="145" xfId="0" applyFont="1" applyBorder="1" applyAlignment="1" applyProtection="1">
      <alignment horizontal="left" vertical="center"/>
      <protection hidden="1"/>
    </xf>
    <xf numFmtId="0" fontId="10" fillId="0" borderId="143" xfId="0" applyFont="1" applyBorder="1" applyAlignment="1" applyProtection="1">
      <alignment vertical="center"/>
      <protection hidden="1"/>
    </xf>
    <xf numFmtId="14" fontId="1" fillId="0" borderId="0" xfId="0" applyNumberFormat="1" applyFont="1"/>
    <xf numFmtId="0" fontId="53" fillId="0" borderId="0" xfId="0" applyFont="1" applyAlignment="1">
      <alignment horizontal="center" vertical="center" readingOrder="1"/>
    </xf>
    <xf numFmtId="0" fontId="9" fillId="0" borderId="0" xfId="0" applyFont="1" applyProtection="1">
      <protection hidden="1"/>
    </xf>
    <xf numFmtId="0" fontId="4" fillId="0" borderId="0" xfId="0" applyFont="1" applyAlignment="1" applyProtection="1">
      <alignment horizontal="center" vertical="center"/>
      <protection hidden="1"/>
    </xf>
    <xf numFmtId="166" fontId="10" fillId="0" borderId="27" xfId="0" applyNumberFormat="1" applyFont="1" applyBorder="1" applyAlignment="1">
      <alignment vertical="center"/>
    </xf>
    <xf numFmtId="166" fontId="10" fillId="0" borderId="0" xfId="0" applyNumberFormat="1" applyFont="1" applyAlignment="1">
      <alignment vertical="center"/>
    </xf>
    <xf numFmtId="1" fontId="4" fillId="7" borderId="38" xfId="0" applyNumberFormat="1" applyFont="1" applyFill="1" applyBorder="1" applyAlignment="1" applyProtection="1">
      <alignment horizontal="center"/>
      <protection locked="0"/>
    </xf>
    <xf numFmtId="0" fontId="9" fillId="0" borderId="34" xfId="0" applyFont="1" applyBorder="1" applyAlignment="1">
      <alignment horizontal="center" vertical="center"/>
    </xf>
    <xf numFmtId="0" fontId="9" fillId="0" borderId="34" xfId="0" applyFont="1" applyBorder="1" applyAlignment="1">
      <alignment vertical="center"/>
    </xf>
    <xf numFmtId="0" fontId="9" fillId="0" borderId="34" xfId="0" applyFont="1" applyBorder="1" applyAlignment="1">
      <alignment horizontal="right" vertical="center"/>
    </xf>
    <xf numFmtId="3" fontId="9" fillId="0" borderId="34" xfId="0" applyNumberFormat="1" applyFont="1" applyBorder="1" applyAlignment="1">
      <alignment vertical="center"/>
    </xf>
    <xf numFmtId="0" fontId="4" fillId="0" borderId="113" xfId="0" applyFont="1" applyBorder="1" applyAlignment="1">
      <alignment vertical="center"/>
    </xf>
    <xf numFmtId="0" fontId="0" fillId="0" borderId="123" xfId="0" applyBorder="1" applyAlignment="1">
      <alignment vertical="center"/>
    </xf>
    <xf numFmtId="0" fontId="9" fillId="0" borderId="118" xfId="0" applyFont="1" applyBorder="1" applyAlignment="1">
      <alignment horizontal="center" vertical="center"/>
    </xf>
    <xf numFmtId="0" fontId="10" fillId="0" borderId="118" xfId="0" applyFont="1" applyBorder="1" applyAlignment="1">
      <alignment horizontal="center" vertical="center"/>
    </xf>
    <xf numFmtId="0" fontId="9" fillId="0" borderId="114" xfId="0" applyFont="1" applyBorder="1" applyAlignment="1">
      <alignment horizontal="center" vertical="center"/>
    </xf>
    <xf numFmtId="0" fontId="9" fillId="0" borderId="116" xfId="0" applyFont="1" applyBorder="1" applyAlignment="1">
      <alignment vertical="center"/>
    </xf>
    <xf numFmtId="0" fontId="9" fillId="0" borderId="124" xfId="0" applyFont="1" applyBorder="1" applyAlignment="1">
      <alignment horizontal="right" vertical="center"/>
    </xf>
    <xf numFmtId="0" fontId="4" fillId="0" borderId="123" xfId="0" applyFont="1" applyBorder="1" applyAlignment="1">
      <alignment vertical="center"/>
    </xf>
    <xf numFmtId="0" fontId="4" fillId="0" borderId="118" xfId="0" applyFont="1" applyBorder="1" applyAlignment="1">
      <alignment horizontal="center" vertical="center"/>
    </xf>
    <xf numFmtId="0" fontId="0" fillId="0" borderId="118" xfId="0" applyBorder="1" applyAlignment="1">
      <alignment horizontal="center" vertical="center"/>
    </xf>
    <xf numFmtId="0" fontId="10" fillId="0" borderId="158" xfId="0" applyFont="1" applyBorder="1" applyAlignment="1">
      <alignment horizontal="center" vertical="center"/>
    </xf>
    <xf numFmtId="0" fontId="9" fillId="0" borderId="116" xfId="0" applyFont="1" applyBorder="1" applyAlignment="1" applyProtection="1">
      <alignment horizontal="left" vertical="center"/>
      <protection hidden="1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3" fontId="4" fillId="0" borderId="0" xfId="0" applyNumberFormat="1" applyFont="1" applyAlignment="1">
      <alignment vertical="center"/>
    </xf>
    <xf numFmtId="0" fontId="10" fillId="0" borderId="116" xfId="0" applyFont="1" applyBorder="1" applyAlignment="1" applyProtection="1">
      <alignment vertical="center"/>
      <protection hidden="1"/>
    </xf>
    <xf numFmtId="3" fontId="10" fillId="0" borderId="124" xfId="0" applyNumberFormat="1" applyFont="1" applyBorder="1" applyAlignment="1" applyProtection="1">
      <alignment vertical="center"/>
      <protection hidden="1"/>
    </xf>
    <xf numFmtId="3" fontId="9" fillId="0" borderId="159" xfId="0" applyNumberFormat="1" applyFont="1" applyBorder="1" applyAlignment="1" applyProtection="1">
      <alignment vertical="center"/>
      <protection hidden="1"/>
    </xf>
    <xf numFmtId="0" fontId="4" fillId="0" borderId="112" xfId="0" applyFont="1" applyBorder="1" applyAlignment="1" applyProtection="1">
      <alignment horizontal="left" vertical="center"/>
      <protection hidden="1"/>
    </xf>
    <xf numFmtId="0" fontId="4" fillId="0" borderId="118" xfId="0" applyFont="1" applyBorder="1" applyAlignment="1" applyProtection="1">
      <alignment horizontal="left" vertical="center"/>
      <protection hidden="1"/>
    </xf>
    <xf numFmtId="0" fontId="10" fillId="0" borderId="162" xfId="0" applyFont="1" applyBorder="1"/>
    <xf numFmtId="0" fontId="0" fillId="0" borderId="141" xfId="0" applyBorder="1"/>
    <xf numFmtId="0" fontId="4" fillId="0" borderId="118" xfId="0" applyFont="1" applyBorder="1" applyAlignment="1" applyProtection="1">
      <alignment vertical="center"/>
      <protection hidden="1"/>
    </xf>
    <xf numFmtId="0" fontId="4" fillId="0" borderId="118" xfId="0" applyFont="1" applyBorder="1" applyProtection="1">
      <protection hidden="1"/>
    </xf>
    <xf numFmtId="0" fontId="10" fillId="0" borderId="163" xfId="0" applyFont="1" applyBorder="1" applyAlignment="1" applyProtection="1">
      <alignment horizontal="left" vertical="center"/>
      <protection hidden="1"/>
    </xf>
    <xf numFmtId="3" fontId="5" fillId="0" borderId="18" xfId="0" applyNumberFormat="1" applyFont="1" applyBorder="1" applyAlignment="1">
      <alignment horizontal="right" vertical="center"/>
    </xf>
    <xf numFmtId="164" fontId="2" fillId="0" borderId="18" xfId="2" applyNumberFormat="1" applyFont="1" applyBorder="1" applyAlignment="1" applyProtection="1">
      <alignment vertical="center"/>
      <protection hidden="1"/>
    </xf>
    <xf numFmtId="0" fontId="5" fillId="0" borderId="66" xfId="0" applyFont="1" applyBorder="1" applyAlignment="1">
      <alignment vertical="center"/>
    </xf>
    <xf numFmtId="0" fontId="5" fillId="0" borderId="43" xfId="0" applyFont="1" applyBorder="1" applyAlignment="1">
      <alignment horizontal="center" vertical="center"/>
    </xf>
    <xf numFmtId="0" fontId="5" fillId="0" borderId="41" xfId="0" applyFont="1" applyBorder="1" applyAlignment="1">
      <alignment vertical="center"/>
    </xf>
    <xf numFmtId="0" fontId="21" fillId="0" borderId="0" xfId="0" applyFont="1" applyAlignment="1">
      <alignment horizontal="center" vertical="center" wrapText="1"/>
    </xf>
    <xf numFmtId="0" fontId="5" fillId="0" borderId="92" xfId="0" applyFont="1" applyBorder="1" applyAlignment="1">
      <alignment horizontal="center" vertical="center"/>
    </xf>
    <xf numFmtId="0" fontId="5" fillId="0" borderId="97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9" fillId="0" borderId="0" xfId="0" applyFont="1" applyAlignment="1" applyProtection="1">
      <alignment vertical="center"/>
      <protection hidden="1"/>
    </xf>
    <xf numFmtId="0" fontId="50" fillId="0" borderId="0" xfId="0" applyFont="1" applyAlignment="1" applyProtection="1">
      <alignment vertical="center"/>
      <protection hidden="1"/>
    </xf>
    <xf numFmtId="0" fontId="42" fillId="0" borderId="0" xfId="0" applyFont="1" applyAlignment="1" applyProtection="1">
      <alignment vertical="center"/>
      <protection locked="0"/>
    </xf>
    <xf numFmtId="0" fontId="10" fillId="0" borderId="27" xfId="0" applyFont="1" applyBorder="1" applyAlignment="1" applyProtection="1">
      <alignment vertical="center"/>
      <protection locked="0" hidden="1"/>
    </xf>
    <xf numFmtId="0" fontId="10" fillId="0" borderId="45" xfId="0" applyFont="1" applyBorder="1" applyAlignment="1">
      <alignment vertical="center"/>
    </xf>
    <xf numFmtId="0" fontId="1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right" vertical="top"/>
    </xf>
    <xf numFmtId="0" fontId="9" fillId="0" borderId="0" xfId="0" applyFont="1" applyAlignment="1" applyProtection="1">
      <alignment horizontal="right" vertical="center"/>
      <protection hidden="1"/>
    </xf>
    <xf numFmtId="166" fontId="9" fillId="0" borderId="0" xfId="0" applyNumberFormat="1" applyFont="1" applyAlignment="1" applyProtection="1">
      <alignment horizontal="right" vertical="center"/>
      <protection hidden="1"/>
    </xf>
    <xf numFmtId="3" fontId="9" fillId="0" borderId="0" xfId="0" applyNumberFormat="1" applyFont="1" applyAlignment="1" applyProtection="1">
      <alignment vertical="center"/>
      <protection hidden="1"/>
    </xf>
    <xf numFmtId="0" fontId="10" fillId="0" borderId="171" xfId="0" applyFont="1" applyBorder="1" applyAlignment="1">
      <alignment vertical="center"/>
    </xf>
    <xf numFmtId="0" fontId="4" fillId="0" borderId="172" xfId="0" applyFont="1" applyBorder="1" applyAlignment="1">
      <alignment horizontal="right" vertical="center"/>
    </xf>
    <xf numFmtId="0" fontId="9" fillId="0" borderId="0" xfId="0" applyFont="1" applyAlignment="1">
      <alignment horizontal="left" vertical="center"/>
    </xf>
    <xf numFmtId="0" fontId="9" fillId="0" borderId="31" xfId="0" applyFont="1" applyBorder="1" applyAlignment="1">
      <alignment vertical="center"/>
    </xf>
    <xf numFmtId="0" fontId="9" fillId="0" borderId="105" xfId="0" applyFont="1" applyBorder="1" applyAlignment="1">
      <alignment horizontal="right" vertical="center"/>
    </xf>
    <xf numFmtId="0" fontId="9" fillId="0" borderId="78" xfId="0" applyFont="1" applyBorder="1" applyAlignment="1">
      <alignment vertical="center"/>
    </xf>
    <xf numFmtId="0" fontId="10" fillId="0" borderId="174" xfId="0" applyFont="1" applyBorder="1" applyAlignment="1">
      <alignment vertical="center"/>
    </xf>
    <xf numFmtId="0" fontId="4" fillId="0" borderId="173" xfId="0" applyFont="1" applyBorder="1" applyAlignment="1">
      <alignment horizontal="right" vertical="center"/>
    </xf>
    <xf numFmtId="0" fontId="10" fillId="0" borderId="174" xfId="0" applyFont="1" applyBorder="1" applyAlignment="1">
      <alignment horizontal="right" vertical="center"/>
    </xf>
    <xf numFmtId="9" fontId="10" fillId="7" borderId="173" xfId="2" applyFont="1" applyFill="1" applyBorder="1" applyAlignment="1" applyProtection="1">
      <alignment horizontal="center" vertical="center"/>
      <protection locked="0"/>
    </xf>
    <xf numFmtId="0" fontId="5" fillId="7" borderId="106" xfId="0" applyFont="1" applyFill="1" applyBorder="1" applyAlignment="1" applyProtection="1">
      <alignment vertical="center"/>
      <protection locked="0"/>
    </xf>
    <xf numFmtId="0" fontId="1" fillId="0" borderId="14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3" fontId="10" fillId="0" borderId="72" xfId="0" applyNumberFormat="1" applyFont="1" applyBorder="1" applyAlignment="1" applyProtection="1">
      <alignment horizontal="left" vertical="center"/>
      <protection hidden="1"/>
    </xf>
    <xf numFmtId="3" fontId="10" fillId="0" borderId="97" xfId="0" applyNumberFormat="1" applyFont="1" applyBorder="1" applyAlignment="1">
      <alignment horizontal="right" vertical="center"/>
    </xf>
    <xf numFmtId="3" fontId="10" fillId="0" borderId="43" xfId="0" applyNumberFormat="1" applyFont="1" applyBorder="1" applyAlignment="1">
      <alignment vertical="center"/>
    </xf>
    <xf numFmtId="164" fontId="10" fillId="0" borderId="43" xfId="0" applyNumberFormat="1" applyFont="1" applyBorder="1" applyAlignment="1">
      <alignment horizontal="right" vertical="center"/>
    </xf>
    <xf numFmtId="3" fontId="10" fillId="0" borderId="43" xfId="0" applyNumberFormat="1" applyFont="1" applyBorder="1" applyAlignment="1">
      <alignment horizontal="right" vertical="center"/>
    </xf>
    <xf numFmtId="0" fontId="10" fillId="0" borderId="43" xfId="0" applyFont="1" applyBorder="1" applyAlignment="1">
      <alignment horizontal="right" vertical="center"/>
    </xf>
    <xf numFmtId="3" fontId="4" fillId="0" borderId="92" xfId="0" applyNumberFormat="1" applyFont="1" applyBorder="1" applyAlignment="1" applyProtection="1">
      <alignment vertical="center"/>
      <protection hidden="1"/>
    </xf>
    <xf numFmtId="3" fontId="10" fillId="0" borderId="18" xfId="0" applyNumberFormat="1" applyFont="1" applyBorder="1"/>
    <xf numFmtId="0" fontId="1" fillId="0" borderId="0" xfId="0" applyFont="1"/>
    <xf numFmtId="0" fontId="9" fillId="0" borderId="16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2" fillId="0" borderId="5" xfId="0" applyFont="1" applyBorder="1" applyAlignment="1">
      <alignment vertical="center"/>
    </xf>
    <xf numFmtId="0" fontId="9" fillId="0" borderId="27" xfId="0" applyFont="1" applyBorder="1"/>
    <xf numFmtId="0" fontId="0" fillId="0" borderId="141" xfId="0" applyBorder="1" applyAlignment="1">
      <alignment horizontal="left"/>
    </xf>
    <xf numFmtId="0" fontId="10" fillId="0" borderId="118" xfId="0" applyFont="1" applyBorder="1" applyAlignment="1" applyProtection="1">
      <alignment vertical="center"/>
      <protection locked="0"/>
    </xf>
    <xf numFmtId="0" fontId="10" fillId="0" borderId="121" xfId="0" applyFont="1" applyBorder="1" applyAlignment="1" applyProtection="1">
      <alignment vertical="center"/>
      <protection locked="0"/>
    </xf>
    <xf numFmtId="0" fontId="10" fillId="0" borderId="114" xfId="0" applyFont="1" applyBorder="1" applyAlignment="1" applyProtection="1">
      <alignment vertical="center"/>
      <protection locked="0"/>
    </xf>
    <xf numFmtId="0" fontId="10" fillId="0" borderId="116" xfId="0" applyFont="1" applyBorder="1" applyAlignment="1" applyProtection="1">
      <alignment vertical="center"/>
      <protection locked="0"/>
    </xf>
    <xf numFmtId="0" fontId="10" fillId="0" borderId="115" xfId="0" applyFont="1" applyBorder="1" applyAlignment="1" applyProtection="1">
      <alignment vertical="center"/>
      <protection locked="0"/>
    </xf>
    <xf numFmtId="0" fontId="4" fillId="0" borderId="178" xfId="0" applyFont="1" applyBorder="1" applyAlignment="1">
      <alignment horizontal="left" vertical="center"/>
    </xf>
    <xf numFmtId="0" fontId="10" fillId="0" borderId="184" xfId="0" applyFont="1" applyBorder="1" applyAlignment="1">
      <alignment horizontal="center" vertical="center"/>
    </xf>
    <xf numFmtId="0" fontId="10" fillId="0" borderId="43" xfId="0" applyFont="1" applyBorder="1" applyAlignment="1">
      <alignment vertical="center"/>
    </xf>
    <xf numFmtId="0" fontId="10" fillId="7" borderId="43" xfId="0" applyFont="1" applyFill="1" applyBorder="1" applyAlignment="1" applyProtection="1">
      <alignment vertical="center"/>
      <protection locked="0"/>
    </xf>
    <xf numFmtId="0" fontId="2" fillId="0" borderId="0" xfId="0" applyFont="1" applyAlignment="1">
      <alignment horizontal="left"/>
    </xf>
    <xf numFmtId="0" fontId="10" fillId="7" borderId="18" xfId="0" applyFont="1" applyFill="1" applyBorder="1" applyAlignment="1" applyProtection="1">
      <alignment horizontal="center" vertical="center"/>
      <protection locked="0"/>
    </xf>
    <xf numFmtId="9" fontId="38" fillId="7" borderId="18" xfId="0" applyNumberFormat="1" applyFont="1" applyFill="1" applyBorder="1" applyAlignment="1" applyProtection="1">
      <alignment horizontal="center" vertical="center"/>
      <protection locked="0"/>
    </xf>
    <xf numFmtId="166" fontId="38" fillId="7" borderId="18" xfId="0" applyNumberFormat="1" applyFont="1" applyFill="1" applyBorder="1" applyAlignment="1" applyProtection="1">
      <alignment horizontal="center" vertical="center"/>
      <protection locked="0"/>
    </xf>
    <xf numFmtId="0" fontId="38" fillId="0" borderId="21" xfId="0" applyFont="1" applyBorder="1" applyAlignment="1">
      <alignment horizontal="center" vertical="center"/>
    </xf>
    <xf numFmtId="166" fontId="38" fillId="7" borderId="21" xfId="0" applyNumberFormat="1" applyFont="1" applyFill="1" applyBorder="1" applyAlignment="1" applyProtection="1">
      <alignment horizontal="center" vertical="center"/>
      <protection locked="0"/>
    </xf>
    <xf numFmtId="1" fontId="38" fillId="7" borderId="18" xfId="0" applyNumberFormat="1" applyFont="1" applyFill="1" applyBorder="1" applyAlignment="1" applyProtection="1">
      <alignment horizontal="center" vertical="center"/>
      <protection locked="0"/>
    </xf>
    <xf numFmtId="0" fontId="38" fillId="0" borderId="43" xfId="0" applyFont="1" applyBorder="1" applyAlignment="1">
      <alignment horizontal="center" vertical="center"/>
    </xf>
    <xf numFmtId="0" fontId="38" fillId="0" borderId="88" xfId="0" applyFont="1" applyBorder="1" applyAlignment="1">
      <alignment horizontal="center" vertical="center"/>
    </xf>
    <xf numFmtId="166" fontId="38" fillId="7" borderId="102" xfId="0" applyNumberFormat="1" applyFont="1" applyFill="1" applyBorder="1" applyAlignment="1" applyProtection="1">
      <alignment horizontal="center" vertical="center"/>
      <protection locked="0"/>
    </xf>
    <xf numFmtId="166" fontId="38" fillId="7" borderId="103" xfId="0" applyNumberFormat="1" applyFont="1" applyFill="1" applyBorder="1" applyAlignment="1" applyProtection="1">
      <alignment horizontal="center" vertical="center"/>
      <protection locked="0"/>
    </xf>
    <xf numFmtId="0" fontId="38" fillId="0" borderId="59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166" fontId="38" fillId="0" borderId="43" xfId="0" applyNumberFormat="1" applyFont="1" applyBorder="1" applyAlignment="1" applyProtection="1">
      <alignment horizontal="center" vertical="center"/>
      <protection hidden="1"/>
    </xf>
    <xf numFmtId="0" fontId="38" fillId="0" borderId="9" xfId="0" applyFont="1" applyBorder="1" applyAlignment="1">
      <alignment horizontal="center" vertical="center"/>
    </xf>
    <xf numFmtId="0" fontId="38" fillId="0" borderId="9" xfId="0" applyFont="1" applyBorder="1" applyAlignment="1" applyProtection="1">
      <alignment horizontal="center" vertical="center"/>
      <protection hidden="1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10" fillId="0" borderId="11" xfId="0" applyFont="1" applyBorder="1" applyAlignment="1" applyProtection="1">
      <alignment vertical="center"/>
      <protection hidden="1"/>
    </xf>
    <xf numFmtId="0" fontId="10" fillId="7" borderId="52" xfId="0" applyFont="1" applyFill="1" applyBorder="1" applyAlignment="1" applyProtection="1">
      <alignment vertical="center"/>
      <protection locked="0"/>
    </xf>
    <xf numFmtId="1" fontId="10" fillId="7" borderId="38" xfId="0" applyNumberFormat="1" applyFont="1" applyFill="1" applyBorder="1" applyAlignment="1" applyProtection="1">
      <alignment horizontal="center" vertical="center"/>
      <protection locked="0"/>
    </xf>
    <xf numFmtId="0" fontId="10" fillId="7" borderId="37" xfId="0" applyFont="1" applyFill="1" applyBorder="1" applyAlignment="1" applyProtection="1">
      <alignment vertical="center"/>
      <protection locked="0"/>
    </xf>
    <xf numFmtId="2" fontId="37" fillId="7" borderId="43" xfId="0" applyNumberFormat="1" applyFont="1" applyFill="1" applyBorder="1" applyAlignment="1" applyProtection="1">
      <alignment horizontal="center" vertical="center"/>
      <protection locked="0"/>
    </xf>
    <xf numFmtId="2" fontId="37" fillId="7" borderId="18" xfId="0" applyNumberFormat="1" applyFont="1" applyFill="1" applyBorder="1" applyAlignment="1" applyProtection="1">
      <alignment horizontal="center" vertical="center"/>
      <protection locked="0"/>
    </xf>
    <xf numFmtId="0" fontId="38" fillId="0" borderId="18" xfId="0" applyFont="1" applyBorder="1" applyAlignment="1">
      <alignment horizontal="left"/>
    </xf>
    <xf numFmtId="3" fontId="10" fillId="0" borderId="59" xfId="0" applyNumberFormat="1" applyFont="1" applyBorder="1" applyAlignment="1">
      <alignment horizontal="right" vertical="center"/>
    </xf>
    <xf numFmtId="0" fontId="10" fillId="0" borderId="164" xfId="0" applyFont="1" applyBorder="1" applyAlignment="1">
      <alignment horizontal="center" vertical="center"/>
    </xf>
    <xf numFmtId="3" fontId="10" fillId="0" borderId="59" xfId="0" applyNumberFormat="1" applyFont="1" applyBorder="1" applyAlignment="1" applyProtection="1">
      <alignment horizontal="right" vertical="center"/>
      <protection hidden="1"/>
    </xf>
    <xf numFmtId="3" fontId="10" fillId="7" borderId="59" xfId="0" applyNumberFormat="1" applyFont="1" applyFill="1" applyBorder="1" applyAlignment="1">
      <alignment horizontal="right" vertical="center"/>
    </xf>
    <xf numFmtId="0" fontId="10" fillId="0" borderId="9" xfId="0" applyFont="1" applyBorder="1" applyAlignment="1" applyProtection="1">
      <alignment vertical="center"/>
      <protection hidden="1"/>
    </xf>
    <xf numFmtId="0" fontId="10" fillId="0" borderId="185" xfId="0" applyFont="1" applyBorder="1" applyAlignment="1">
      <alignment horizontal="center" vertical="center"/>
    </xf>
    <xf numFmtId="0" fontId="10" fillId="7" borderId="17" xfId="0" applyFont="1" applyFill="1" applyBorder="1" applyAlignment="1" applyProtection="1">
      <alignment horizontal="left" vertical="center"/>
      <protection locked="0"/>
    </xf>
    <xf numFmtId="0" fontId="0" fillId="7" borderId="43" xfId="0" applyFill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31" xfId="0" applyBorder="1" applyAlignment="1">
      <alignment vertical="center"/>
    </xf>
    <xf numFmtId="0" fontId="1" fillId="0" borderId="41" xfId="0" applyFont="1" applyBorder="1" applyAlignment="1">
      <alignment horizontal="center" vertical="center"/>
    </xf>
    <xf numFmtId="3" fontId="4" fillId="0" borderId="92" xfId="0" applyNumberFormat="1" applyFont="1" applyBorder="1" applyAlignment="1" applyProtection="1">
      <alignment horizontal="right" vertical="center"/>
      <protection hidden="1"/>
    </xf>
    <xf numFmtId="166" fontId="10" fillId="0" borderId="31" xfId="0" applyNumberFormat="1" applyFont="1" applyBorder="1" applyAlignment="1" applyProtection="1">
      <alignment horizontal="right" vertical="center"/>
      <protection locked="0"/>
    </xf>
    <xf numFmtId="0" fontId="1" fillId="0" borderId="0" xfId="0" applyFont="1" applyAlignment="1">
      <alignment horizontal="center"/>
    </xf>
    <xf numFmtId="0" fontId="10" fillId="0" borderId="114" xfId="0" applyFont="1" applyBorder="1" applyAlignment="1">
      <alignment horizontal="center" vertical="center"/>
    </xf>
    <xf numFmtId="0" fontId="13" fillId="0" borderId="116" xfId="0" applyFont="1" applyBorder="1" applyAlignment="1" applyProtection="1">
      <alignment horizontal="right" vertical="center"/>
      <protection hidden="1"/>
    </xf>
    <xf numFmtId="169" fontId="10" fillId="0" borderId="116" xfId="0" applyNumberFormat="1" applyFont="1" applyBorder="1" applyAlignment="1" applyProtection="1">
      <alignment vertical="center"/>
      <protection hidden="1"/>
    </xf>
    <xf numFmtId="0" fontId="0" fillId="0" borderId="127" xfId="0" applyBorder="1" applyAlignment="1" applyProtection="1">
      <alignment horizontal="center" vertical="center"/>
      <protection hidden="1"/>
    </xf>
    <xf numFmtId="0" fontId="5" fillId="7" borderId="117" xfId="0" applyFont="1" applyFill="1" applyBorder="1" applyProtection="1">
      <protection locked="0"/>
    </xf>
    <xf numFmtId="0" fontId="5" fillId="7" borderId="106" xfId="0" applyFont="1" applyFill="1" applyBorder="1" applyProtection="1">
      <protection locked="0"/>
    </xf>
    <xf numFmtId="14" fontId="0" fillId="0" borderId="0" xfId="0" applyNumberFormat="1" applyAlignment="1" applyProtection="1">
      <alignment horizontal="center" vertical="center"/>
      <protection hidden="1"/>
    </xf>
    <xf numFmtId="14" fontId="0" fillId="0" borderId="0" xfId="0" applyNumberFormat="1" applyAlignment="1">
      <alignment horizontal="center" vertical="center"/>
    </xf>
    <xf numFmtId="0" fontId="7" fillId="0" borderId="0" xfId="0" applyFont="1" applyAlignment="1">
      <alignment vertical="center"/>
    </xf>
    <xf numFmtId="0" fontId="4" fillId="0" borderId="192" xfId="0" applyFont="1" applyBorder="1" applyAlignment="1">
      <alignment vertical="center"/>
    </xf>
    <xf numFmtId="0" fontId="0" fillId="0" borderId="193" xfId="0" applyBorder="1" applyAlignment="1">
      <alignment vertical="center"/>
    </xf>
    <xf numFmtId="1" fontId="9" fillId="0" borderId="27" xfId="0" applyNumberFormat="1" applyFont="1" applyBorder="1" applyAlignment="1">
      <alignment horizontal="center"/>
    </xf>
    <xf numFmtId="0" fontId="10" fillId="0" borderId="0" xfId="1" applyFont="1" applyAlignment="1" applyProtection="1">
      <alignment vertical="center"/>
      <protection locked="0"/>
    </xf>
    <xf numFmtId="0" fontId="10" fillId="0" borderId="0" xfId="0" applyFont="1" applyProtection="1">
      <protection locked="0"/>
    </xf>
    <xf numFmtId="6" fontId="54" fillId="0" borderId="0" xfId="0" applyNumberFormat="1" applyFont="1" applyAlignment="1">
      <alignment vertical="center"/>
    </xf>
    <xf numFmtId="14" fontId="10" fillId="0" borderId="0" xfId="0" applyNumberFormat="1" applyFont="1" applyAlignment="1" applyProtection="1">
      <alignment horizontal="left"/>
      <protection locked="0"/>
    </xf>
    <xf numFmtId="14" fontId="9" fillId="7" borderId="0" xfId="0" applyNumberFormat="1" applyFont="1" applyFill="1" applyAlignment="1" applyProtection="1">
      <alignment horizontal="left"/>
      <protection locked="0"/>
    </xf>
    <xf numFmtId="14" fontId="4" fillId="0" borderId="17" xfId="0" applyNumberFormat="1" applyFont="1" applyBorder="1" applyAlignment="1" applyProtection="1">
      <alignment horizontal="left" vertical="center"/>
      <protection hidden="1"/>
    </xf>
    <xf numFmtId="14" fontId="4" fillId="0" borderId="17" xfId="0" applyNumberFormat="1" applyFont="1" applyBorder="1" applyAlignment="1">
      <alignment horizontal="left" vertical="center"/>
    </xf>
    <xf numFmtId="1" fontId="9" fillId="6" borderId="62" xfId="0" applyNumberFormat="1" applyFont="1" applyFill="1" applyBorder="1" applyAlignment="1" applyProtection="1">
      <alignment horizontal="center" vertical="center"/>
      <protection hidden="1"/>
    </xf>
    <xf numFmtId="3" fontId="10" fillId="7" borderId="18" xfId="0" applyNumberFormat="1" applyFont="1" applyFill="1" applyBorder="1" applyAlignment="1" applyProtection="1">
      <alignment horizontal="center" vertical="center"/>
      <protection locked="0"/>
    </xf>
    <xf numFmtId="3" fontId="4" fillId="0" borderId="38" xfId="0" applyNumberFormat="1" applyFont="1" applyBorder="1" applyAlignment="1" applyProtection="1">
      <alignment horizontal="center" vertical="center"/>
      <protection hidden="1"/>
    </xf>
    <xf numFmtId="3" fontId="10" fillId="0" borderId="35" xfId="0" applyNumberFormat="1" applyFont="1" applyBorder="1" applyAlignment="1" applyProtection="1">
      <alignment horizontal="center" vertical="center"/>
      <protection hidden="1"/>
    </xf>
    <xf numFmtId="3" fontId="4" fillId="0" borderId="35" xfId="0" applyNumberFormat="1" applyFont="1" applyBorder="1" applyAlignment="1" applyProtection="1">
      <alignment horizontal="center" vertical="center"/>
      <protection hidden="1"/>
    </xf>
    <xf numFmtId="0" fontId="10" fillId="0" borderId="60" xfId="0" applyFont="1" applyBorder="1" applyAlignment="1" applyProtection="1">
      <alignment horizontal="center" vertical="center"/>
      <protection hidden="1"/>
    </xf>
    <xf numFmtId="0" fontId="10" fillId="0" borderId="26" xfId="0" applyFont="1" applyBorder="1" applyAlignment="1" applyProtection="1">
      <alignment horizontal="center" vertical="center"/>
      <protection hidden="1"/>
    </xf>
    <xf numFmtId="167" fontId="10" fillId="0" borderId="61" xfId="0" applyNumberFormat="1" applyFont="1" applyBorder="1" applyAlignment="1" applyProtection="1">
      <alignment horizontal="center" vertical="center"/>
      <protection hidden="1"/>
    </xf>
    <xf numFmtId="3" fontId="10" fillId="7" borderId="32" xfId="0" applyNumberFormat="1" applyFont="1" applyFill="1" applyBorder="1" applyAlignment="1" applyProtection="1">
      <alignment horizontal="center" vertical="center"/>
      <protection locked="0"/>
    </xf>
    <xf numFmtId="3" fontId="10" fillId="0" borderId="33" xfId="0" applyNumberFormat="1" applyFont="1" applyBorder="1" applyAlignment="1" applyProtection="1">
      <alignment horizontal="center" vertical="center"/>
      <protection hidden="1"/>
    </xf>
    <xf numFmtId="3" fontId="10" fillId="0" borderId="153" xfId="0" applyNumberFormat="1" applyFont="1" applyBorder="1" applyAlignment="1" applyProtection="1">
      <alignment horizontal="center" vertical="center"/>
      <protection hidden="1"/>
    </xf>
    <xf numFmtId="3" fontId="10" fillId="0" borderId="32" xfId="0" applyNumberFormat="1" applyFont="1" applyBorder="1" applyAlignment="1" applyProtection="1">
      <alignment horizontal="center" vertical="center"/>
      <protection hidden="1"/>
    </xf>
    <xf numFmtId="3" fontId="10" fillId="0" borderId="157" xfId="0" applyNumberFormat="1" applyFont="1" applyBorder="1" applyAlignment="1" applyProtection="1">
      <alignment horizontal="center" vertical="center"/>
      <protection hidden="1"/>
    </xf>
    <xf numFmtId="0" fontId="10" fillId="0" borderId="20" xfId="0" applyFont="1" applyBorder="1" applyAlignment="1" applyProtection="1">
      <alignment horizontal="center" vertical="center"/>
      <protection hidden="1"/>
    </xf>
    <xf numFmtId="0" fontId="10" fillId="0" borderId="19" xfId="0" applyFont="1" applyBorder="1" applyAlignment="1" applyProtection="1">
      <alignment horizontal="center" vertical="center"/>
      <protection hidden="1"/>
    </xf>
    <xf numFmtId="167" fontId="10" fillId="0" borderId="170" xfId="0" applyNumberFormat="1" applyFont="1" applyBorder="1" applyAlignment="1" applyProtection="1">
      <alignment horizontal="center" vertical="center"/>
      <protection hidden="1"/>
    </xf>
    <xf numFmtId="167" fontId="10" fillId="0" borderId="169" xfId="0" applyNumberFormat="1" applyFont="1" applyBorder="1" applyAlignment="1" applyProtection="1">
      <alignment horizontal="center" vertical="center"/>
      <protection hidden="1"/>
    </xf>
    <xf numFmtId="3" fontId="4" fillId="0" borderId="55" xfId="0" applyNumberFormat="1" applyFont="1" applyBorder="1" applyAlignment="1" applyProtection="1">
      <alignment horizontal="center" vertical="center"/>
      <protection hidden="1"/>
    </xf>
    <xf numFmtId="167" fontId="4" fillId="0" borderId="0" xfId="0" applyNumberFormat="1" applyFont="1" applyAlignment="1">
      <alignment horizontal="center" vertical="center"/>
    </xf>
    <xf numFmtId="0" fontId="5" fillId="0" borderId="0" xfId="0" applyFont="1" applyAlignment="1" applyProtection="1">
      <alignment shrinkToFit="1"/>
      <protection hidden="1"/>
    </xf>
    <xf numFmtId="0" fontId="1" fillId="0" borderId="0" xfId="0" applyFont="1" applyAlignment="1">
      <alignment shrinkToFit="1"/>
    </xf>
    <xf numFmtId="3" fontId="10" fillId="6" borderId="18" xfId="0" applyNumberFormat="1" applyFont="1" applyFill="1" applyBorder="1" applyAlignment="1">
      <alignment vertical="center"/>
    </xf>
    <xf numFmtId="3" fontId="10" fillId="6" borderId="18" xfId="0" applyNumberFormat="1" applyFont="1" applyFill="1" applyBorder="1" applyAlignment="1" applyProtection="1">
      <alignment vertical="center"/>
      <protection hidden="1"/>
    </xf>
    <xf numFmtId="3" fontId="9" fillId="6" borderId="154" xfId="0" applyNumberFormat="1" applyFont="1" applyFill="1" applyBorder="1" applyAlignment="1" applyProtection="1">
      <alignment vertical="center"/>
      <protection hidden="1"/>
    </xf>
    <xf numFmtId="3" fontId="4" fillId="6" borderId="151" xfId="0" applyNumberFormat="1" applyFont="1" applyFill="1" applyBorder="1" applyAlignment="1" applyProtection="1">
      <alignment vertical="center"/>
      <protection hidden="1"/>
    </xf>
    <xf numFmtId="3" fontId="10" fillId="6" borderId="38" xfId="0" applyNumberFormat="1" applyFont="1" applyFill="1" applyBorder="1" applyAlignment="1" applyProtection="1">
      <alignment vertical="center"/>
      <protection hidden="1"/>
    </xf>
    <xf numFmtId="3" fontId="10" fillId="6" borderId="20" xfId="0" applyNumberFormat="1" applyFont="1" applyFill="1" applyBorder="1" applyAlignment="1">
      <alignment vertical="center"/>
    </xf>
    <xf numFmtId="3" fontId="10" fillId="6" borderId="38" xfId="0" applyNumberFormat="1" applyFont="1" applyFill="1" applyBorder="1" applyAlignment="1">
      <alignment vertical="center"/>
    </xf>
    <xf numFmtId="3" fontId="10" fillId="6" borderId="18" xfId="0" applyNumberFormat="1" applyFont="1" applyFill="1" applyBorder="1" applyProtection="1">
      <protection hidden="1"/>
    </xf>
    <xf numFmtId="3" fontId="10" fillId="6" borderId="18" xfId="0" applyNumberFormat="1" applyFont="1" applyFill="1" applyBorder="1" applyAlignment="1" applyProtection="1">
      <alignment horizontal="right" vertical="center"/>
      <protection hidden="1"/>
    </xf>
    <xf numFmtId="3" fontId="10" fillId="6" borderId="18" xfId="0" applyNumberFormat="1" applyFont="1" applyFill="1" applyBorder="1" applyAlignment="1" applyProtection="1">
      <alignment horizontal="right" vertical="center"/>
      <protection locked="0"/>
    </xf>
    <xf numFmtId="3" fontId="10" fillId="6" borderId="20" xfId="0" applyNumberFormat="1" applyFont="1" applyFill="1" applyBorder="1" applyAlignment="1" applyProtection="1">
      <alignment horizontal="right" vertical="center"/>
      <protection hidden="1"/>
    </xf>
    <xf numFmtId="164" fontId="10" fillId="6" borderId="18" xfId="2" applyNumberFormat="1" applyFont="1" applyFill="1" applyBorder="1" applyAlignment="1" applyProtection="1">
      <alignment horizontal="right" vertical="center"/>
      <protection hidden="1"/>
    </xf>
    <xf numFmtId="0" fontId="44" fillId="6" borderId="18" xfId="0" applyFont="1" applyFill="1" applyBorder="1" applyAlignment="1" applyProtection="1">
      <alignment horizontal="left" vertical="center"/>
      <protection hidden="1"/>
    </xf>
    <xf numFmtId="4" fontId="10" fillId="6" borderId="18" xfId="0" applyNumberFormat="1" applyFont="1" applyFill="1" applyBorder="1" applyProtection="1">
      <protection hidden="1"/>
    </xf>
    <xf numFmtId="4" fontId="10" fillId="6" borderId="18" xfId="0" applyNumberFormat="1" applyFont="1" applyFill="1" applyBorder="1" applyAlignment="1" applyProtection="1">
      <alignment horizontal="right" vertical="center"/>
      <protection hidden="1"/>
    </xf>
    <xf numFmtId="164" fontId="10" fillId="6" borderId="18" xfId="2" applyNumberFormat="1" applyFont="1" applyFill="1" applyBorder="1" applyProtection="1">
      <protection hidden="1"/>
    </xf>
    <xf numFmtId="0" fontId="10" fillId="6" borderId="18" xfId="0" applyFont="1" applyFill="1" applyBorder="1" applyAlignment="1" applyProtection="1">
      <alignment horizontal="center" vertical="center"/>
      <protection hidden="1"/>
    </xf>
    <xf numFmtId="167" fontId="10" fillId="6" borderId="35" xfId="0" applyNumberFormat="1" applyFont="1" applyFill="1" applyBorder="1" applyAlignment="1">
      <alignment horizontal="center" vertical="center"/>
    </xf>
    <xf numFmtId="3" fontId="4" fillId="6" borderId="194" xfId="0" applyNumberFormat="1" applyFont="1" applyFill="1" applyBorder="1" applyAlignment="1" applyProtection="1">
      <alignment vertical="center"/>
      <protection hidden="1"/>
    </xf>
    <xf numFmtId="3" fontId="9" fillId="6" borderId="32" xfId="0" applyNumberFormat="1" applyFont="1" applyFill="1" applyBorder="1" applyAlignment="1" applyProtection="1">
      <alignment vertical="center"/>
      <protection hidden="1"/>
    </xf>
    <xf numFmtId="3" fontId="9" fillId="6" borderId="60" xfId="0" applyNumberFormat="1" applyFont="1" applyFill="1" applyBorder="1" applyAlignment="1" applyProtection="1">
      <alignment vertical="center"/>
      <protection hidden="1"/>
    </xf>
    <xf numFmtId="3" fontId="9" fillId="6" borderId="18" xfId="0" applyNumberFormat="1" applyFont="1" applyFill="1" applyBorder="1" applyAlignment="1" applyProtection="1">
      <alignment vertical="center"/>
      <protection hidden="1"/>
    </xf>
    <xf numFmtId="3" fontId="10" fillId="6" borderId="20" xfId="0" applyNumberFormat="1" applyFont="1" applyFill="1" applyBorder="1" applyAlignment="1" applyProtection="1">
      <alignment vertical="center"/>
      <protection hidden="1"/>
    </xf>
    <xf numFmtId="3" fontId="10" fillId="6" borderId="18" xfId="0" applyNumberFormat="1" applyFont="1" applyFill="1" applyBorder="1" applyAlignment="1" applyProtection="1">
      <alignment vertical="center"/>
      <protection locked="0"/>
    </xf>
    <xf numFmtId="3" fontId="9" fillId="6" borderId="159" xfId="0" applyNumberFormat="1" applyFont="1" applyFill="1" applyBorder="1" applyAlignment="1" applyProtection="1">
      <alignment vertical="center"/>
      <protection hidden="1"/>
    </xf>
    <xf numFmtId="3" fontId="10" fillId="6" borderId="32" xfId="0" applyNumberFormat="1" applyFont="1" applyFill="1" applyBorder="1" applyAlignment="1" applyProtection="1">
      <alignment vertical="center"/>
      <protection hidden="1"/>
    </xf>
    <xf numFmtId="3" fontId="4" fillId="6" borderId="18" xfId="0" applyNumberFormat="1" applyFont="1" applyFill="1" applyBorder="1" applyAlignment="1" applyProtection="1">
      <alignment horizontal="right" vertical="center"/>
      <protection hidden="1"/>
    </xf>
    <xf numFmtId="164" fontId="13" fillId="6" borderId="18" xfId="0" applyNumberFormat="1" applyFont="1" applyFill="1" applyBorder="1" applyAlignment="1" applyProtection="1">
      <alignment vertical="center"/>
      <protection hidden="1"/>
    </xf>
    <xf numFmtId="3" fontId="4" fillId="6" borderId="18" xfId="0" applyNumberFormat="1" applyFont="1" applyFill="1" applyBorder="1" applyAlignment="1" applyProtection="1">
      <alignment vertical="center"/>
      <protection hidden="1"/>
    </xf>
    <xf numFmtId="3" fontId="10" fillId="6" borderId="0" xfId="0" applyNumberFormat="1" applyFont="1" applyFill="1" applyProtection="1">
      <protection hidden="1"/>
    </xf>
    <xf numFmtId="3" fontId="9" fillId="6" borderId="18" xfId="0" applyNumberFormat="1" applyFont="1" applyFill="1" applyBorder="1" applyAlignment="1" applyProtection="1">
      <alignment vertical="center"/>
      <protection locked="0"/>
    </xf>
    <xf numFmtId="3" fontId="9" fillId="6" borderId="154" xfId="0" applyNumberFormat="1" applyFont="1" applyFill="1" applyBorder="1" applyAlignment="1" applyProtection="1">
      <alignment vertical="center"/>
      <protection locked="0"/>
    </xf>
    <xf numFmtId="3" fontId="10" fillId="6" borderId="18" xfId="0" applyNumberFormat="1" applyFont="1" applyFill="1" applyBorder="1"/>
    <xf numFmtId="164" fontId="13" fillId="6" borderId="18" xfId="0" applyNumberFormat="1" applyFont="1" applyFill="1" applyBorder="1" applyAlignment="1" applyProtection="1">
      <alignment horizontal="center" vertical="center"/>
      <protection hidden="1"/>
    </xf>
    <xf numFmtId="164" fontId="49" fillId="6" borderId="18" xfId="0" applyNumberFormat="1" applyFont="1" applyFill="1" applyBorder="1" applyAlignment="1" applyProtection="1">
      <alignment vertical="center"/>
      <protection hidden="1"/>
    </xf>
    <xf numFmtId="0" fontId="4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164" fontId="49" fillId="0" borderId="0" xfId="2" applyNumberFormat="1" applyFont="1" applyAlignment="1" applyProtection="1">
      <alignment horizontal="left" vertical="center"/>
      <protection hidden="1"/>
    </xf>
    <xf numFmtId="1" fontId="9" fillId="6" borderId="166" xfId="0" applyNumberFormat="1" applyFont="1" applyFill="1" applyBorder="1" applyAlignment="1" applyProtection="1">
      <alignment horizontal="center" vertical="center"/>
      <protection hidden="1"/>
    </xf>
    <xf numFmtId="166" fontId="10" fillId="6" borderId="67" xfId="0" applyNumberFormat="1" applyFont="1" applyFill="1" applyBorder="1" applyAlignment="1" applyProtection="1">
      <alignment horizontal="center" vertical="center"/>
      <protection hidden="1"/>
    </xf>
    <xf numFmtId="3" fontId="9" fillId="6" borderId="66" xfId="0" applyNumberFormat="1" applyFont="1" applyFill="1" applyBorder="1" applyAlignment="1" applyProtection="1">
      <alignment vertical="center"/>
      <protection hidden="1"/>
    </xf>
    <xf numFmtId="3" fontId="9" fillId="6" borderId="67" xfId="0" applyNumberFormat="1" applyFont="1" applyFill="1" applyBorder="1" applyAlignment="1" applyProtection="1">
      <alignment horizontal="center" vertical="center"/>
      <protection hidden="1"/>
    </xf>
    <xf numFmtId="3" fontId="10" fillId="6" borderId="12" xfId="0" applyNumberFormat="1" applyFont="1" applyFill="1" applyBorder="1" applyAlignment="1" applyProtection="1">
      <alignment vertical="center"/>
      <protection hidden="1"/>
    </xf>
    <xf numFmtId="3" fontId="9" fillId="6" borderId="41" xfId="0" applyNumberFormat="1" applyFont="1" applyFill="1" applyBorder="1" applyAlignment="1" applyProtection="1">
      <alignment vertical="center"/>
      <protection hidden="1"/>
    </xf>
    <xf numFmtId="166" fontId="10" fillId="6" borderId="165" xfId="0" applyNumberFormat="1" applyFont="1" applyFill="1" applyBorder="1" applyAlignment="1" applyProtection="1">
      <alignment horizontal="center" vertical="center"/>
      <protection hidden="1"/>
    </xf>
    <xf numFmtId="1" fontId="9" fillId="6" borderId="33" xfId="0" applyNumberFormat="1" applyFont="1" applyFill="1" applyBorder="1" applyAlignment="1" applyProtection="1">
      <alignment horizontal="center" vertical="center"/>
      <protection hidden="1"/>
    </xf>
    <xf numFmtId="166" fontId="10" fillId="6" borderId="35" xfId="0" applyNumberFormat="1" applyFont="1" applyFill="1" applyBorder="1" applyAlignment="1" applyProtection="1">
      <alignment horizontal="center" vertical="center"/>
      <protection hidden="1"/>
    </xf>
    <xf numFmtId="1" fontId="9" fillId="6" borderId="36" xfId="0" applyNumberFormat="1" applyFont="1" applyFill="1" applyBorder="1" applyAlignment="1" applyProtection="1">
      <alignment horizontal="center"/>
      <protection hidden="1"/>
    </xf>
    <xf numFmtId="164" fontId="10" fillId="6" borderId="36" xfId="0" applyNumberFormat="1" applyFont="1" applyFill="1" applyBorder="1" applyAlignment="1">
      <alignment horizontal="center" vertical="center"/>
    </xf>
    <xf numFmtId="0" fontId="43" fillId="0" borderId="27" xfId="0" applyFont="1" applyBorder="1" applyAlignment="1" applyProtection="1">
      <alignment horizontal="left" vertical="center"/>
      <protection hidden="1"/>
    </xf>
    <xf numFmtId="0" fontId="57" fillId="0" borderId="75" xfId="0" applyFont="1" applyBorder="1" applyAlignment="1">
      <alignment horizontal="right" vertical="center"/>
    </xf>
    <xf numFmtId="3" fontId="38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38" fillId="0" borderId="18" xfId="0" applyNumberFormat="1" applyFont="1" applyBorder="1" applyAlignment="1" applyProtection="1">
      <alignment horizontal="center" vertical="center"/>
      <protection hidden="1"/>
    </xf>
    <xf numFmtId="164" fontId="38" fillId="7" borderId="18" xfId="0" applyNumberFormat="1" applyFont="1" applyFill="1" applyBorder="1" applyAlignment="1" applyProtection="1">
      <alignment horizontal="center" vertical="center"/>
      <protection locked="0"/>
    </xf>
    <xf numFmtId="3" fontId="38" fillId="7" borderId="18" xfId="0" applyNumberFormat="1" applyFont="1" applyFill="1" applyBorder="1" applyAlignment="1" applyProtection="1">
      <alignment horizontal="center" vertical="center"/>
      <protection locked="0"/>
    </xf>
    <xf numFmtId="3" fontId="38" fillId="7" borderId="91" xfId="0" applyNumberFormat="1" applyFont="1" applyFill="1" applyBorder="1" applyAlignment="1" applyProtection="1">
      <alignment horizontal="center" vertical="center"/>
      <protection locked="0" hidden="1"/>
    </xf>
    <xf numFmtId="3" fontId="9" fillId="0" borderId="83" xfId="0" applyNumberFormat="1" applyFont="1" applyBorder="1" applyAlignment="1" applyProtection="1">
      <alignment horizontal="center" vertical="center"/>
      <protection hidden="1"/>
    </xf>
    <xf numFmtId="3" fontId="10" fillId="0" borderId="83" xfId="0" applyNumberFormat="1" applyFont="1" applyBorder="1" applyAlignment="1" applyProtection="1">
      <alignment horizontal="center" vertical="center"/>
      <protection hidden="1"/>
    </xf>
    <xf numFmtId="3" fontId="1" fillId="2" borderId="0" xfId="0" applyNumberFormat="1" applyFont="1" applyFill="1" applyAlignment="1">
      <alignment horizontal="center" vertical="center"/>
    </xf>
    <xf numFmtId="3" fontId="1" fillId="2" borderId="0" xfId="0" applyNumberFormat="1" applyFont="1" applyFill="1" applyAlignment="1" applyProtection="1">
      <alignment horizontal="center" vertical="center"/>
      <protection hidden="1"/>
    </xf>
    <xf numFmtId="3" fontId="38" fillId="6" borderId="63" xfId="0" applyNumberFormat="1" applyFont="1" applyFill="1" applyBorder="1" applyAlignment="1" applyProtection="1">
      <alignment horizontal="center" vertical="center"/>
      <protection hidden="1"/>
    </xf>
    <xf numFmtId="3" fontId="38" fillId="6" borderId="32" xfId="0" applyNumberFormat="1" applyFont="1" applyFill="1" applyBorder="1" applyAlignment="1" applyProtection="1">
      <alignment horizontal="center" vertical="center"/>
      <protection hidden="1"/>
    </xf>
    <xf numFmtId="3" fontId="1" fillId="6" borderId="18" xfId="0" applyNumberFormat="1" applyFont="1" applyFill="1" applyBorder="1" applyAlignment="1" applyProtection="1">
      <alignment horizontal="center" vertical="center"/>
      <protection hidden="1"/>
    </xf>
    <xf numFmtId="0" fontId="9" fillId="0" borderId="80" xfId="0" applyFont="1" applyBorder="1" applyAlignment="1" applyProtection="1">
      <alignment horizontal="left" vertical="center" indent="1"/>
      <protection hidden="1"/>
    </xf>
    <xf numFmtId="0" fontId="26" fillId="0" borderId="201" xfId="0" applyFont="1" applyBorder="1" applyAlignment="1">
      <alignment horizontal="center" vertical="center"/>
    </xf>
    <xf numFmtId="0" fontId="30" fillId="0" borderId="201" xfId="0" applyFont="1" applyBorder="1" applyAlignment="1">
      <alignment horizontal="left" vertical="center"/>
    </xf>
    <xf numFmtId="0" fontId="4" fillId="0" borderId="201" xfId="0" applyFont="1" applyBorder="1" applyAlignment="1">
      <alignment horizontal="left" vertical="center"/>
    </xf>
    <xf numFmtId="0" fontId="30" fillId="0" borderId="201" xfId="0" applyFont="1" applyBorder="1" applyAlignment="1">
      <alignment horizontal="center" vertical="center"/>
    </xf>
    <xf numFmtId="167" fontId="40" fillId="0" borderId="201" xfId="0" applyNumberFormat="1" applyFont="1" applyBorder="1" applyAlignment="1" applyProtection="1">
      <alignment vertical="center"/>
      <protection hidden="1"/>
    </xf>
    <xf numFmtId="3" fontId="9" fillId="0" borderId="201" xfId="0" applyNumberFormat="1" applyFont="1" applyBorder="1" applyAlignment="1" applyProtection="1">
      <alignment vertical="center"/>
      <protection hidden="1"/>
    </xf>
    <xf numFmtId="0" fontId="9" fillId="0" borderId="109" xfId="0" applyFont="1" applyBorder="1" applyAlignment="1" applyProtection="1">
      <alignment horizontal="left" vertical="center"/>
      <protection hidden="1"/>
    </xf>
    <xf numFmtId="164" fontId="5" fillId="0" borderId="119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43" fillId="0" borderId="135" xfId="0" applyFont="1" applyBorder="1" applyAlignment="1">
      <alignment horizontal="right" vertical="center"/>
    </xf>
    <xf numFmtId="0" fontId="9" fillId="0" borderId="109" xfId="0" applyFont="1" applyBorder="1" applyProtection="1">
      <protection hidden="1"/>
    </xf>
    <xf numFmtId="0" fontId="10" fillId="7" borderId="52" xfId="0" applyFont="1" applyFill="1" applyBorder="1" applyAlignment="1" applyProtection="1">
      <alignment horizontal="left" vertical="center"/>
      <protection locked="0"/>
    </xf>
    <xf numFmtId="0" fontId="53" fillId="0" borderId="0" xfId="0" applyFont="1" applyAlignment="1">
      <alignment horizontal="left" vertical="center" readingOrder="1"/>
    </xf>
    <xf numFmtId="0" fontId="9" fillId="0" borderId="135" xfId="0" applyFont="1" applyBorder="1" applyProtection="1">
      <protection hidden="1"/>
    </xf>
    <xf numFmtId="0" fontId="10" fillId="0" borderId="135" xfId="0" applyFont="1" applyBorder="1" applyProtection="1">
      <protection hidden="1"/>
    </xf>
    <xf numFmtId="0" fontId="10" fillId="0" borderId="203" xfId="0" applyFont="1" applyBorder="1" applyProtection="1">
      <protection hidden="1"/>
    </xf>
    <xf numFmtId="0" fontId="9" fillId="0" borderId="203" xfId="0" applyFont="1" applyBorder="1" applyProtection="1">
      <protection hidden="1"/>
    </xf>
    <xf numFmtId="0" fontId="10" fillId="0" borderId="203" xfId="0" applyFont="1" applyBorder="1" applyAlignment="1" applyProtection="1">
      <alignment horizontal="left"/>
      <protection hidden="1"/>
    </xf>
    <xf numFmtId="0" fontId="9" fillId="0" borderId="203" xfId="0" applyFont="1" applyBorder="1" applyAlignment="1" applyProtection="1">
      <alignment horizontal="left" vertical="center"/>
      <protection hidden="1"/>
    </xf>
    <xf numFmtId="0" fontId="10" fillId="0" borderId="117" xfId="0" applyFont="1" applyBorder="1" applyAlignment="1" applyProtection="1">
      <alignment horizontal="center" vertical="center"/>
      <protection hidden="1"/>
    </xf>
    <xf numFmtId="0" fontId="10" fillId="0" borderId="150" xfId="0" applyFont="1" applyBorder="1" applyProtection="1">
      <protection hidden="1"/>
    </xf>
    <xf numFmtId="0" fontId="10" fillId="0" borderId="135" xfId="0" applyFont="1" applyBorder="1" applyAlignment="1" applyProtection="1">
      <alignment vertical="center"/>
      <protection hidden="1"/>
    </xf>
    <xf numFmtId="0" fontId="9" fillId="0" borderId="135" xfId="0" applyFont="1" applyBorder="1" applyAlignment="1" applyProtection="1">
      <alignment horizontal="left" vertical="center"/>
      <protection hidden="1"/>
    </xf>
    <xf numFmtId="0" fontId="9" fillId="0" borderId="135" xfId="0" applyFont="1" applyBorder="1" applyAlignment="1" applyProtection="1">
      <alignment vertical="center"/>
      <protection hidden="1"/>
    </xf>
    <xf numFmtId="0" fontId="9" fillId="0" borderId="150" xfId="0" applyFont="1" applyBorder="1" applyProtection="1">
      <protection hidden="1"/>
    </xf>
    <xf numFmtId="0" fontId="10" fillId="0" borderId="117" xfId="0" applyFont="1" applyBorder="1" applyAlignment="1" applyProtection="1">
      <alignment horizontal="left" vertical="center"/>
      <protection hidden="1"/>
    </xf>
    <xf numFmtId="3" fontId="9" fillId="0" borderId="135" xfId="0" applyNumberFormat="1" applyFont="1" applyBorder="1" applyAlignment="1" applyProtection="1">
      <alignment vertical="center"/>
      <protection hidden="1"/>
    </xf>
    <xf numFmtId="0" fontId="10" fillId="0" borderId="135" xfId="0" applyFont="1" applyBorder="1" applyAlignment="1" applyProtection="1">
      <alignment shrinkToFit="1"/>
      <protection hidden="1"/>
    </xf>
    <xf numFmtId="3" fontId="10" fillId="0" borderId="135" xfId="0" applyNumberFormat="1" applyFont="1" applyBorder="1" applyAlignment="1">
      <alignment horizontal="right" vertical="center"/>
    </xf>
    <xf numFmtId="167" fontId="10" fillId="0" borderId="135" xfId="0" applyNumberFormat="1" applyFont="1" applyBorder="1" applyAlignment="1" applyProtection="1">
      <alignment vertical="center"/>
      <protection hidden="1"/>
    </xf>
    <xf numFmtId="167" fontId="9" fillId="0" borderId="135" xfId="0" applyNumberFormat="1" applyFont="1" applyBorder="1" applyAlignment="1" applyProtection="1">
      <alignment vertical="center"/>
      <protection hidden="1"/>
    </xf>
    <xf numFmtId="0" fontId="10" fillId="0" borderId="109" xfId="0" applyFont="1" applyBorder="1" applyAlignment="1" applyProtection="1">
      <alignment vertical="center"/>
      <protection hidden="1"/>
    </xf>
    <xf numFmtId="0" fontId="10" fillId="0" borderId="111" xfId="0" applyFont="1" applyBorder="1" applyAlignment="1" applyProtection="1">
      <alignment horizontal="center" vertical="center"/>
      <protection hidden="1"/>
    </xf>
    <xf numFmtId="0" fontId="10" fillId="0" borderId="117" xfId="0" applyFont="1" applyBorder="1" applyAlignment="1" applyProtection="1">
      <alignment horizontal="center"/>
      <protection hidden="1"/>
    </xf>
    <xf numFmtId="0" fontId="10" fillId="0" borderId="202" xfId="0" applyFont="1" applyBorder="1" applyProtection="1">
      <protection hidden="1"/>
    </xf>
    <xf numFmtId="3" fontId="10" fillId="0" borderId="125" xfId="0" applyNumberFormat="1" applyFont="1" applyBorder="1" applyAlignment="1" applyProtection="1">
      <alignment horizontal="center" vertical="center"/>
      <protection hidden="1"/>
    </xf>
    <xf numFmtId="3" fontId="10" fillId="0" borderId="117" xfId="0" applyNumberFormat="1" applyFont="1" applyBorder="1" applyAlignment="1" applyProtection="1">
      <alignment horizontal="center" vertical="center"/>
      <protection hidden="1"/>
    </xf>
    <xf numFmtId="0" fontId="10" fillId="0" borderId="202" xfId="0" applyFont="1" applyBorder="1" applyAlignment="1" applyProtection="1">
      <alignment horizontal="left"/>
      <protection hidden="1"/>
    </xf>
    <xf numFmtId="3" fontId="10" fillId="0" borderId="120" xfId="0" applyNumberFormat="1" applyFont="1" applyBorder="1" applyAlignment="1" applyProtection="1">
      <alignment horizontal="center" vertical="center"/>
      <protection hidden="1"/>
    </xf>
    <xf numFmtId="0" fontId="10" fillId="0" borderId="135" xfId="0" applyFont="1" applyBorder="1"/>
    <xf numFmtId="0" fontId="10" fillId="0" borderId="116" xfId="0" applyFont="1" applyBorder="1"/>
    <xf numFmtId="0" fontId="59" fillId="0" borderId="0" xfId="0" applyFont="1" applyAlignment="1" applyProtection="1">
      <alignment horizontal="left" vertical="center"/>
      <protection hidden="1"/>
    </xf>
    <xf numFmtId="164" fontId="59" fillId="0" borderId="0" xfId="2" applyNumberFormat="1" applyFont="1" applyBorder="1" applyAlignment="1" applyProtection="1">
      <alignment horizontal="left" vertical="center"/>
      <protection hidden="1"/>
    </xf>
    <xf numFmtId="4" fontId="59" fillId="0" borderId="0" xfId="0" applyNumberFormat="1" applyFont="1" applyAlignment="1" applyProtection="1">
      <alignment horizontal="left" vertical="center"/>
      <protection hidden="1"/>
    </xf>
    <xf numFmtId="164" fontId="49" fillId="0" borderId="0" xfId="2" applyNumberFormat="1" applyFont="1" applyBorder="1" applyAlignment="1" applyProtection="1">
      <alignment horizontal="left" vertical="center"/>
      <protection hidden="1"/>
    </xf>
    <xf numFmtId="167" fontId="9" fillId="0" borderId="0" xfId="0" applyNumberFormat="1" applyFont="1" applyAlignment="1" applyProtection="1">
      <alignment horizontal="center"/>
      <protection hidden="1"/>
    </xf>
    <xf numFmtId="14" fontId="10" fillId="0" borderId="0" xfId="0" applyNumberFormat="1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3" fontId="5" fillId="0" borderId="0" xfId="0" applyNumberFormat="1" applyFont="1" applyAlignment="1" applyProtection="1">
      <alignment horizontal="right"/>
      <protection hidden="1"/>
    </xf>
    <xf numFmtId="0" fontId="2" fillId="0" borderId="0" xfId="0" applyFont="1" applyAlignment="1" applyProtection="1">
      <alignment vertical="center" shrinkToFit="1"/>
      <protection hidden="1"/>
    </xf>
    <xf numFmtId="0" fontId="2" fillId="0" borderId="0" xfId="0" applyFont="1" applyAlignment="1">
      <alignment vertical="center" shrinkToFit="1"/>
    </xf>
    <xf numFmtId="0" fontId="5" fillId="7" borderId="136" xfId="0" applyFont="1" applyFill="1" applyBorder="1" applyAlignment="1" applyProtection="1">
      <alignment horizontal="center" vertical="center"/>
      <protection locked="0"/>
    </xf>
    <xf numFmtId="164" fontId="5" fillId="7" borderId="119" xfId="0" applyNumberFormat="1" applyFont="1" applyFill="1" applyBorder="1" applyAlignment="1" applyProtection="1">
      <alignment horizontal="center" vertical="center"/>
      <protection locked="0"/>
    </xf>
    <xf numFmtId="49" fontId="9" fillId="0" borderId="16" xfId="0" applyNumberFormat="1" applyFont="1" applyBorder="1" applyAlignment="1">
      <alignment horizontal="left" vertical="center" wrapText="1"/>
    </xf>
    <xf numFmtId="3" fontId="10" fillId="0" borderId="21" xfId="0" applyNumberFormat="1" applyFon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horizontal="center" vertical="center"/>
      <protection hidden="1"/>
    </xf>
    <xf numFmtId="167" fontId="5" fillId="6" borderId="120" xfId="0" applyNumberFormat="1" applyFont="1" applyFill="1" applyBorder="1" applyAlignment="1" applyProtection="1">
      <alignment horizontal="center" vertical="center"/>
      <protection hidden="1"/>
    </xf>
    <xf numFmtId="0" fontId="10" fillId="7" borderId="37" xfId="0" applyFont="1" applyFill="1" applyBorder="1" applyAlignment="1" applyProtection="1">
      <alignment horizontal="left" vertical="center"/>
      <protection locked="0"/>
    </xf>
    <xf numFmtId="1" fontId="9" fillId="0" borderId="32" xfId="0" applyNumberFormat="1" applyFont="1" applyBorder="1" applyAlignment="1">
      <alignment horizontal="center"/>
    </xf>
    <xf numFmtId="0" fontId="10" fillId="0" borderId="109" xfId="0" applyFont="1" applyBorder="1" applyAlignment="1" applyProtection="1">
      <alignment vertical="center"/>
      <protection locked="0"/>
    </xf>
    <xf numFmtId="0" fontId="10" fillId="2" borderId="109" xfId="0" applyFont="1" applyFill="1" applyBorder="1" applyAlignment="1" applyProtection="1">
      <alignment vertical="center"/>
      <protection locked="0"/>
    </xf>
    <xf numFmtId="0" fontId="10" fillId="0" borderId="209" xfId="0" applyFont="1" applyBorder="1" applyAlignment="1" applyProtection="1">
      <alignment vertical="center"/>
      <protection locked="0"/>
    </xf>
    <xf numFmtId="14" fontId="0" fillId="0" borderId="0" xfId="0" applyNumberFormat="1" applyAlignment="1">
      <alignment horizontal="left" vertical="center"/>
    </xf>
    <xf numFmtId="0" fontId="0" fillId="0" borderId="32" xfId="0" applyBorder="1"/>
    <xf numFmtId="166" fontId="0" fillId="0" borderId="32" xfId="0" applyNumberFormat="1" applyBorder="1"/>
    <xf numFmtId="1" fontId="0" fillId="0" borderId="32" xfId="0" applyNumberFormat="1" applyBorder="1"/>
    <xf numFmtId="164" fontId="0" fillId="0" borderId="24" xfId="2" applyNumberFormat="1" applyFont="1" applyBorder="1"/>
    <xf numFmtId="3" fontId="0" fillId="0" borderId="52" xfId="2" applyNumberFormat="1" applyFont="1" applyBorder="1"/>
    <xf numFmtId="3" fontId="0" fillId="0" borderId="32" xfId="0" applyNumberFormat="1" applyBorder="1"/>
    <xf numFmtId="3" fontId="0" fillId="0" borderId="33" xfId="0" applyNumberFormat="1" applyBorder="1"/>
    <xf numFmtId="3" fontId="0" fillId="0" borderId="59" xfId="0" applyNumberFormat="1" applyBorder="1"/>
    <xf numFmtId="3" fontId="0" fillId="0" borderId="52" xfId="0" applyNumberFormat="1" applyBorder="1"/>
    <xf numFmtId="3" fontId="4" fillId="0" borderId="60" xfId="0" applyNumberFormat="1" applyFont="1" applyBorder="1" applyAlignment="1" applyProtection="1">
      <alignment horizontal="center" vertical="center"/>
      <protection hidden="1"/>
    </xf>
    <xf numFmtId="0" fontId="0" fillId="0" borderId="49" xfId="0" applyBorder="1"/>
    <xf numFmtId="166" fontId="0" fillId="0" borderId="63" xfId="0" applyNumberFormat="1" applyBorder="1"/>
    <xf numFmtId="1" fontId="0" fillId="0" borderId="63" xfId="0" applyNumberFormat="1" applyBorder="1"/>
    <xf numFmtId="164" fontId="0" fillId="0" borderId="48" xfId="2" applyNumberFormat="1" applyFont="1" applyBorder="1"/>
    <xf numFmtId="3" fontId="0" fillId="0" borderId="49" xfId="2" applyNumberFormat="1" applyFont="1" applyBorder="1"/>
    <xf numFmtId="3" fontId="0" fillId="0" borderId="63" xfId="0" applyNumberFormat="1" applyBorder="1"/>
    <xf numFmtId="3" fontId="0" fillId="0" borderId="50" xfId="0" applyNumberFormat="1" applyBorder="1"/>
    <xf numFmtId="3" fontId="0" fillId="0" borderId="97" xfId="0" applyNumberFormat="1" applyBorder="1"/>
    <xf numFmtId="3" fontId="0" fillId="0" borderId="49" xfId="0" applyNumberFormat="1" applyBorder="1"/>
    <xf numFmtId="3" fontId="4" fillId="0" borderId="29" xfId="0" applyNumberFormat="1" applyFont="1" applyBorder="1" applyAlignment="1" applyProtection="1">
      <alignment horizontal="center" vertical="center"/>
      <protection hidden="1"/>
    </xf>
    <xf numFmtId="0" fontId="0" fillId="0" borderId="36" xfId="0" applyBorder="1"/>
    <xf numFmtId="0" fontId="0" fillId="0" borderId="37" xfId="0" applyBorder="1"/>
    <xf numFmtId="166" fontId="0" fillId="0" borderId="38" xfId="0" applyNumberFormat="1" applyBorder="1"/>
    <xf numFmtId="1" fontId="0" fillId="0" borderId="38" xfId="0" applyNumberFormat="1" applyBorder="1"/>
    <xf numFmtId="164" fontId="0" fillId="0" borderId="56" xfId="2" applyNumberFormat="1" applyFont="1" applyBorder="1"/>
    <xf numFmtId="3" fontId="0" fillId="0" borderId="37" xfId="2" applyNumberFormat="1" applyFont="1" applyBorder="1"/>
    <xf numFmtId="3" fontId="0" fillId="0" borderId="38" xfId="0" applyNumberFormat="1" applyBorder="1"/>
    <xf numFmtId="3" fontId="0" fillId="0" borderId="55" xfId="0" applyNumberFormat="1" applyBorder="1"/>
    <xf numFmtId="3" fontId="0" fillId="0" borderId="92" xfId="0" applyNumberFormat="1" applyBorder="1"/>
    <xf numFmtId="3" fontId="0" fillId="0" borderId="37" xfId="0" applyNumberFormat="1" applyBorder="1"/>
    <xf numFmtId="0" fontId="0" fillId="0" borderId="20" xfId="0" applyBorder="1"/>
    <xf numFmtId="166" fontId="0" fillId="0" borderId="20" xfId="0" applyNumberFormat="1" applyBorder="1"/>
    <xf numFmtId="1" fontId="0" fillId="0" borderId="20" xfId="0" applyNumberFormat="1" applyBorder="1"/>
    <xf numFmtId="164" fontId="0" fillId="0" borderId="19" xfId="2" applyNumberFormat="1" applyFont="1" applyBorder="1"/>
    <xf numFmtId="3" fontId="0" fillId="0" borderId="22" xfId="2" applyNumberFormat="1" applyFont="1" applyBorder="1"/>
    <xf numFmtId="3" fontId="0" fillId="0" borderId="20" xfId="0" applyNumberFormat="1" applyBorder="1"/>
    <xf numFmtId="3" fontId="0" fillId="0" borderId="23" xfId="0" applyNumberFormat="1" applyBorder="1"/>
    <xf numFmtId="3" fontId="0" fillId="0" borderId="9" xfId="0" applyNumberFormat="1" applyBorder="1"/>
    <xf numFmtId="3" fontId="0" fillId="0" borderId="22" xfId="0" applyNumberFormat="1" applyBorder="1"/>
    <xf numFmtId="0" fontId="0" fillId="0" borderId="38" xfId="0" applyBorder="1"/>
    <xf numFmtId="0" fontId="0" fillId="0" borderId="63" xfId="0" applyBorder="1"/>
    <xf numFmtId="3" fontId="0" fillId="0" borderId="34" xfId="2" applyNumberFormat="1" applyFont="1" applyBorder="1"/>
    <xf numFmtId="0" fontId="4" fillId="8" borderId="199" xfId="0" applyFont="1" applyFill="1" applyBorder="1" applyAlignment="1">
      <alignment horizontal="center" vertical="center"/>
    </xf>
    <xf numFmtId="0" fontId="4" fillId="8" borderId="82" xfId="0" applyFont="1" applyFill="1" applyBorder="1" applyAlignment="1" applyProtection="1">
      <alignment horizontal="center" vertical="center"/>
      <protection hidden="1"/>
    </xf>
    <xf numFmtId="3" fontId="1" fillId="8" borderId="83" xfId="0" applyNumberFormat="1" applyFont="1" applyFill="1" applyBorder="1" applyAlignment="1" applyProtection="1">
      <alignment horizontal="center" vertical="center"/>
      <protection hidden="1"/>
    </xf>
    <xf numFmtId="1" fontId="4" fillId="7" borderId="38" xfId="0" applyNumberFormat="1" applyFont="1" applyFill="1" applyBorder="1" applyAlignment="1" applyProtection="1">
      <alignment horizontal="center" vertical="center"/>
      <protection hidden="1"/>
    </xf>
    <xf numFmtId="3" fontId="10" fillId="6" borderId="119" xfId="0" applyNumberFormat="1" applyFont="1" applyFill="1" applyBorder="1" applyAlignment="1" applyProtection="1">
      <alignment horizontal="center" vertical="center"/>
      <protection hidden="1"/>
    </xf>
    <xf numFmtId="3" fontId="10" fillId="6" borderId="120" xfId="0" applyNumberFormat="1" applyFont="1" applyFill="1" applyBorder="1" applyAlignment="1" applyProtection="1">
      <alignment horizontal="center" vertical="center"/>
      <protection hidden="1"/>
    </xf>
    <xf numFmtId="0" fontId="10" fillId="0" borderId="204" xfId="0" applyFont="1" applyBorder="1" applyProtection="1">
      <protection hidden="1"/>
    </xf>
    <xf numFmtId="0" fontId="10" fillId="0" borderId="205" xfId="0" applyFont="1" applyBorder="1" applyProtection="1">
      <protection hidden="1"/>
    </xf>
    <xf numFmtId="0" fontId="10" fillId="0" borderId="204" xfId="0" applyFont="1" applyBorder="1" applyAlignment="1" applyProtection="1">
      <alignment horizontal="left"/>
      <protection hidden="1"/>
    </xf>
    <xf numFmtId="0" fontId="10" fillId="0" borderId="205" xfId="0" applyFont="1" applyBorder="1" applyAlignment="1" applyProtection="1">
      <alignment horizontal="left"/>
      <protection hidden="1"/>
    </xf>
    <xf numFmtId="0" fontId="9" fillId="0" borderId="106" xfId="0" applyFont="1" applyBorder="1" applyAlignment="1" applyProtection="1">
      <alignment horizontal="left"/>
      <protection hidden="1"/>
    </xf>
    <xf numFmtId="0" fontId="10" fillId="8" borderId="0" xfId="0" applyFont="1" applyFill="1" applyAlignment="1" applyProtection="1">
      <alignment horizontal="left" vertical="center"/>
      <protection hidden="1"/>
    </xf>
    <xf numFmtId="3" fontId="9" fillId="8" borderId="0" xfId="0" applyNumberFormat="1" applyFont="1" applyFill="1" applyAlignment="1" applyProtection="1">
      <alignment vertical="center"/>
      <protection hidden="1"/>
    </xf>
    <xf numFmtId="0" fontId="9" fillId="8" borderId="0" xfId="0" applyFont="1" applyFill="1" applyProtection="1">
      <protection hidden="1"/>
    </xf>
    <xf numFmtId="0" fontId="10" fillId="8" borderId="0" xfId="0" applyFont="1" applyFill="1" applyAlignment="1" applyProtection="1">
      <alignment shrinkToFit="1"/>
      <protection hidden="1"/>
    </xf>
    <xf numFmtId="3" fontId="10" fillId="8" borderId="0" xfId="0" quotePrefix="1" applyNumberFormat="1" applyFont="1" applyFill="1" applyAlignment="1">
      <alignment horizontal="right" vertical="center"/>
    </xf>
    <xf numFmtId="167" fontId="10" fillId="8" borderId="0" xfId="0" applyNumberFormat="1" applyFont="1" applyFill="1" applyAlignment="1">
      <alignment horizontal="center" vertical="center" shrinkToFit="1"/>
    </xf>
    <xf numFmtId="0" fontId="43" fillId="0" borderId="135" xfId="0" applyFont="1" applyBorder="1" applyAlignment="1" applyProtection="1">
      <alignment horizontal="right" vertical="center"/>
      <protection hidden="1"/>
    </xf>
    <xf numFmtId="0" fontId="10" fillId="0" borderId="137" xfId="0" applyFont="1" applyBorder="1" applyAlignment="1" applyProtection="1">
      <alignment horizontal="center"/>
      <protection hidden="1"/>
    </xf>
    <xf numFmtId="4" fontId="2" fillId="0" borderId="0" xfId="0" applyNumberFormat="1" applyFont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4" fontId="49" fillId="0" borderId="0" xfId="0" applyNumberFormat="1" applyFont="1" applyAlignment="1" applyProtection="1">
      <alignment horizontal="left"/>
      <protection hidden="1"/>
    </xf>
    <xf numFmtId="166" fontId="5" fillId="0" borderId="0" xfId="2" applyNumberFormat="1" applyFont="1" applyAlignment="1" applyProtection="1">
      <alignment horizontal="center" vertical="center"/>
      <protection hidden="1"/>
    </xf>
    <xf numFmtId="164" fontId="5" fillId="0" borderId="0" xfId="2" applyNumberFormat="1" applyFont="1" applyAlignment="1" applyProtection="1">
      <alignment horizontal="center" vertical="center"/>
      <protection hidden="1"/>
    </xf>
    <xf numFmtId="0" fontId="60" fillId="0" borderId="135" xfId="0" applyFont="1" applyBorder="1" applyAlignment="1">
      <alignment horizontal="right" vertical="center"/>
    </xf>
    <xf numFmtId="0" fontId="43" fillId="0" borderId="203" xfId="0" applyFont="1" applyBorder="1" applyAlignment="1" applyProtection="1">
      <alignment horizontal="right"/>
      <protection hidden="1"/>
    </xf>
    <xf numFmtId="0" fontId="44" fillId="0" borderId="72" xfId="0" applyFont="1" applyBorder="1" applyAlignment="1" applyProtection="1">
      <alignment horizontal="left" vertical="center"/>
      <protection hidden="1"/>
    </xf>
    <xf numFmtId="0" fontId="44" fillId="0" borderId="73" xfId="0" applyFont="1" applyBorder="1"/>
    <xf numFmtId="0" fontId="44" fillId="0" borderId="85" xfId="0" applyFont="1" applyBorder="1"/>
    <xf numFmtId="0" fontId="44" fillId="0" borderId="73" xfId="0" applyFont="1" applyBorder="1" applyAlignment="1">
      <alignment horizontal="left"/>
    </xf>
    <xf numFmtId="3" fontId="58" fillId="6" borderId="18" xfId="0" applyNumberFormat="1" applyFont="1" applyFill="1" applyBorder="1" applyAlignment="1" applyProtection="1">
      <alignment horizontal="right" vertical="center"/>
      <protection hidden="1"/>
    </xf>
    <xf numFmtId="0" fontId="58" fillId="0" borderId="143" xfId="0" applyFont="1" applyBorder="1" applyAlignment="1">
      <alignment horizontal="center" vertical="center"/>
    </xf>
    <xf numFmtId="164" fontId="58" fillId="6" borderId="18" xfId="2" applyNumberFormat="1" applyFont="1" applyFill="1" applyBorder="1" applyAlignment="1">
      <alignment vertical="center"/>
    </xf>
    <xf numFmtId="0" fontId="43" fillId="0" borderId="143" xfId="0" applyFont="1" applyBorder="1" applyAlignment="1">
      <alignment horizontal="center" vertical="center"/>
    </xf>
    <xf numFmtId="166" fontId="43" fillId="6" borderId="18" xfId="0" applyNumberFormat="1" applyFont="1" applyFill="1" applyBorder="1" applyAlignment="1">
      <alignment vertical="center"/>
    </xf>
    <xf numFmtId="164" fontId="43" fillId="6" borderId="18" xfId="2" applyNumberFormat="1" applyFont="1" applyFill="1" applyBorder="1" applyAlignment="1">
      <alignment vertical="center"/>
    </xf>
    <xf numFmtId="164" fontId="43" fillId="6" borderId="20" xfId="2" applyNumberFormat="1" applyFont="1" applyFill="1" applyBorder="1" applyAlignment="1">
      <alignment vertical="center"/>
    </xf>
    <xf numFmtId="167" fontId="9" fillId="0" borderId="0" xfId="0" applyNumberFormat="1" applyFont="1" applyAlignment="1" applyProtection="1">
      <alignment horizontal="center" vertical="center"/>
      <protection hidden="1"/>
    </xf>
    <xf numFmtId="3" fontId="10" fillId="8" borderId="0" xfId="0" applyNumberFormat="1" applyFont="1" applyFill="1" applyAlignment="1" applyProtection="1">
      <alignment horizontal="center" vertical="center"/>
      <protection hidden="1"/>
    </xf>
    <xf numFmtId="166" fontId="10" fillId="0" borderId="135" xfId="0" applyNumberFormat="1" applyFont="1" applyBorder="1" applyAlignment="1" applyProtection="1">
      <alignment horizontal="center" vertical="center"/>
      <protection hidden="1"/>
    </xf>
    <xf numFmtId="3" fontId="9" fillId="0" borderId="135" xfId="0" applyNumberFormat="1" applyFont="1" applyBorder="1" applyAlignment="1" applyProtection="1">
      <alignment horizontal="center" vertical="center"/>
      <protection hidden="1"/>
    </xf>
    <xf numFmtId="166" fontId="9" fillId="0" borderId="135" xfId="0" applyNumberFormat="1" applyFont="1" applyBorder="1" applyAlignment="1" applyProtection="1">
      <alignment horizontal="center" vertical="center"/>
      <protection hidden="1"/>
    </xf>
    <xf numFmtId="167" fontId="10" fillId="8" borderId="135" xfId="0" applyNumberFormat="1" applyFont="1" applyFill="1" applyBorder="1" applyAlignment="1" applyProtection="1">
      <alignment vertical="center"/>
      <protection hidden="1"/>
    </xf>
    <xf numFmtId="166" fontId="10" fillId="8" borderId="129" xfId="0" applyNumberFormat="1" applyFont="1" applyFill="1" applyBorder="1" applyAlignment="1" applyProtection="1">
      <alignment horizontal="center" vertical="center"/>
      <protection hidden="1"/>
    </xf>
    <xf numFmtId="167" fontId="9" fillId="8" borderId="135" xfId="0" applyNumberFormat="1" applyFont="1" applyFill="1" applyBorder="1" applyAlignment="1" applyProtection="1">
      <alignment vertical="center"/>
      <protection hidden="1"/>
    </xf>
    <xf numFmtId="3" fontId="9" fillId="8" borderId="129" xfId="0" applyNumberFormat="1" applyFont="1" applyFill="1" applyBorder="1" applyAlignment="1" applyProtection="1">
      <alignment horizontal="center" vertical="center"/>
      <protection hidden="1"/>
    </xf>
    <xf numFmtId="166" fontId="9" fillId="8" borderId="129" xfId="0" applyNumberFormat="1" applyFont="1" applyFill="1" applyBorder="1" applyAlignment="1" applyProtection="1">
      <alignment horizontal="center" vertical="center"/>
      <protection hidden="1"/>
    </xf>
    <xf numFmtId="167" fontId="59" fillId="0" borderId="0" xfId="0" applyNumberFormat="1" applyFont="1" applyAlignment="1" applyProtection="1">
      <alignment horizontal="left" vertical="center"/>
      <protection hidden="1"/>
    </xf>
    <xf numFmtId="0" fontId="10" fillId="0" borderId="115" xfId="0" applyFont="1" applyBorder="1"/>
    <xf numFmtId="0" fontId="10" fillId="0" borderId="66" xfId="0" applyFont="1" applyBorder="1" applyAlignment="1">
      <alignment horizontal="left" vertical="center" indent="1"/>
    </xf>
    <xf numFmtId="0" fontId="10" fillId="7" borderId="66" xfId="0" applyFont="1" applyFill="1" applyBorder="1" applyAlignment="1" applyProtection="1">
      <alignment horizontal="left" vertical="center" indent="1"/>
      <protection locked="0"/>
    </xf>
    <xf numFmtId="0" fontId="9" fillId="0" borderId="27" xfId="0" applyFont="1" applyBorder="1" applyAlignment="1" applyProtection="1">
      <alignment horizontal="left" vertical="center" indent="1"/>
      <protection hidden="1"/>
    </xf>
    <xf numFmtId="0" fontId="9" fillId="0" borderId="126" xfId="0" applyFont="1" applyBorder="1" applyAlignment="1" applyProtection="1">
      <alignment horizontal="center"/>
      <protection hidden="1"/>
    </xf>
    <xf numFmtId="0" fontId="10" fillId="0" borderId="126" xfId="0" applyFont="1" applyBorder="1" applyAlignment="1" applyProtection="1">
      <alignment horizontal="center"/>
      <protection hidden="1"/>
    </xf>
    <xf numFmtId="0" fontId="5" fillId="0" borderId="126" xfId="0" applyFont="1" applyBorder="1" applyAlignment="1" applyProtection="1">
      <alignment horizontal="center"/>
      <protection hidden="1"/>
    </xf>
    <xf numFmtId="3" fontId="1" fillId="0" borderId="0" xfId="0" applyNumberFormat="1" applyFont="1" applyAlignment="1">
      <alignment vertical="center"/>
    </xf>
    <xf numFmtId="3" fontId="1" fillId="0" borderId="0" xfId="0" applyNumberFormat="1" applyFont="1" applyAlignment="1">
      <alignment horizontal="left" vertical="center"/>
    </xf>
    <xf numFmtId="0" fontId="9" fillId="0" borderId="53" xfId="0" applyFont="1" applyBorder="1" applyAlignment="1">
      <alignment horizontal="center" vertical="center"/>
    </xf>
    <xf numFmtId="3" fontId="10" fillId="0" borderId="20" xfId="0" applyNumberFormat="1" applyFont="1" applyBorder="1" applyAlignment="1" applyProtection="1">
      <alignment horizontal="center" vertical="center"/>
      <protection hidden="1"/>
    </xf>
    <xf numFmtId="3" fontId="10" fillId="7" borderId="35" xfId="0" applyNumberFormat="1" applyFont="1" applyFill="1" applyBorder="1" applyAlignment="1" applyProtection="1">
      <alignment horizontal="center" vertical="center"/>
      <protection locked="0"/>
    </xf>
    <xf numFmtId="164" fontId="43" fillId="7" borderId="18" xfId="0" applyNumberFormat="1" applyFont="1" applyFill="1" applyBorder="1" applyAlignment="1" applyProtection="1">
      <alignment horizontal="center" vertical="center"/>
      <protection locked="0" hidden="1"/>
    </xf>
    <xf numFmtId="164" fontId="43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43" fillId="7" borderId="35" xfId="2" applyNumberFormat="1" applyFont="1" applyFill="1" applyBorder="1" applyAlignment="1" applyProtection="1">
      <alignment horizontal="center" vertical="center"/>
      <protection locked="0" hidden="1"/>
    </xf>
    <xf numFmtId="164" fontId="43" fillId="7" borderId="20" xfId="2" applyNumberFormat="1" applyFont="1" applyFill="1" applyBorder="1" applyAlignment="1" applyProtection="1">
      <alignment horizontal="center" vertical="center"/>
      <protection locked="0" hidden="1"/>
    </xf>
    <xf numFmtId="3" fontId="10" fillId="6" borderId="38" xfId="0" applyNumberFormat="1" applyFont="1" applyFill="1" applyBorder="1" applyAlignment="1">
      <alignment horizontal="center" vertical="center"/>
    </xf>
    <xf numFmtId="3" fontId="10" fillId="0" borderId="38" xfId="0" applyNumberFormat="1" applyFont="1" applyBorder="1" applyAlignment="1" applyProtection="1">
      <alignment horizontal="center" vertical="center"/>
      <protection hidden="1"/>
    </xf>
    <xf numFmtId="3" fontId="10" fillId="0" borderId="55" xfId="0" applyNumberFormat="1" applyFont="1" applyBorder="1" applyAlignment="1" applyProtection="1">
      <alignment horizontal="center" vertical="center"/>
      <protection hidden="1"/>
    </xf>
    <xf numFmtId="3" fontId="9" fillId="0" borderId="18" xfId="0" applyNumberFormat="1" applyFont="1" applyBorder="1" applyAlignment="1" applyProtection="1">
      <alignment horizontal="center" vertical="center"/>
      <protection hidden="1"/>
    </xf>
    <xf numFmtId="3" fontId="9" fillId="0" borderId="21" xfId="0" applyNumberFormat="1" applyFont="1" applyBorder="1" applyAlignment="1" applyProtection="1">
      <alignment horizontal="center" vertical="center"/>
      <protection hidden="1"/>
    </xf>
    <xf numFmtId="3" fontId="9" fillId="0" borderId="153" xfId="0" applyNumberFormat="1" applyFont="1" applyBorder="1" applyAlignment="1" applyProtection="1">
      <alignment horizontal="center" vertical="center"/>
      <protection hidden="1"/>
    </xf>
    <xf numFmtId="167" fontId="43" fillId="0" borderId="18" xfId="0" applyNumberFormat="1" applyFont="1" applyBorder="1" applyAlignment="1" applyProtection="1">
      <alignment horizontal="center" vertical="center"/>
      <protection hidden="1"/>
    </xf>
    <xf numFmtId="164" fontId="43" fillId="0" borderId="18" xfId="0" applyNumberFormat="1" applyFont="1" applyBorder="1" applyAlignment="1" applyProtection="1">
      <alignment horizontal="center" vertical="center"/>
      <protection hidden="1"/>
    </xf>
    <xf numFmtId="164" fontId="43" fillId="0" borderId="153" xfId="0" applyNumberFormat="1" applyFont="1" applyBorder="1" applyAlignment="1" applyProtection="1">
      <alignment horizontal="center" vertical="center"/>
      <protection hidden="1"/>
    </xf>
    <xf numFmtId="3" fontId="10" fillId="7" borderId="153" xfId="0" applyNumberFormat="1" applyFont="1" applyFill="1" applyBorder="1" applyAlignment="1" applyProtection="1">
      <alignment horizontal="center" vertical="center"/>
      <protection locked="0" hidden="1"/>
    </xf>
    <xf numFmtId="3" fontId="9" fillId="7" borderId="18" xfId="0" applyNumberFormat="1" applyFont="1" applyFill="1" applyBorder="1" applyAlignment="1" applyProtection="1">
      <alignment horizontal="center" vertical="center"/>
      <protection locked="0"/>
    </xf>
    <xf numFmtId="3" fontId="9" fillId="7" borderId="153" xfId="0" applyNumberFormat="1" applyFont="1" applyFill="1" applyBorder="1" applyAlignment="1" applyProtection="1">
      <alignment horizontal="center" vertical="center"/>
      <protection locked="0"/>
    </xf>
    <xf numFmtId="3" fontId="9" fillId="0" borderId="154" xfId="0" applyNumberFormat="1" applyFont="1" applyBorder="1" applyAlignment="1" applyProtection="1">
      <alignment horizontal="center" vertical="center"/>
      <protection hidden="1"/>
    </xf>
    <xf numFmtId="3" fontId="9" fillId="0" borderId="155" xfId="0" applyNumberFormat="1" applyFont="1" applyBorder="1" applyAlignment="1" applyProtection="1">
      <alignment horizontal="center" vertical="center"/>
      <protection hidden="1"/>
    </xf>
    <xf numFmtId="3" fontId="9" fillId="0" borderId="156" xfId="0" applyNumberFormat="1" applyFont="1" applyBorder="1" applyAlignment="1" applyProtection="1">
      <alignment horizontal="center" vertical="center"/>
      <protection hidden="1"/>
    </xf>
    <xf numFmtId="3" fontId="9" fillId="0" borderId="34" xfId="0" applyNumberFormat="1" applyFont="1" applyBorder="1" applyAlignment="1" applyProtection="1">
      <alignment horizontal="center" vertical="center"/>
      <protection hidden="1"/>
    </xf>
    <xf numFmtId="3" fontId="4" fillId="0" borderId="62" xfId="0" applyNumberFormat="1" applyFont="1" applyBorder="1" applyAlignment="1" applyProtection="1">
      <alignment horizontal="center" vertical="center"/>
      <protection hidden="1"/>
    </xf>
    <xf numFmtId="3" fontId="4" fillId="0" borderId="57" xfId="0" applyNumberFormat="1" applyFont="1" applyBorder="1" applyAlignment="1" applyProtection="1">
      <alignment horizontal="center" vertical="center"/>
      <protection hidden="1"/>
    </xf>
    <xf numFmtId="3" fontId="4" fillId="0" borderId="6" xfId="0" applyNumberFormat="1" applyFont="1" applyBorder="1" applyAlignment="1" applyProtection="1">
      <alignment horizontal="center" vertical="center"/>
      <protection hidden="1"/>
    </xf>
    <xf numFmtId="0" fontId="10" fillId="0" borderId="180" xfId="0" applyFont="1" applyBorder="1" applyAlignment="1" applyProtection="1">
      <alignment horizontal="left" vertical="center"/>
      <protection hidden="1"/>
    </xf>
    <xf numFmtId="0" fontId="10" fillId="0" borderId="181" xfId="0" applyFont="1" applyBorder="1" applyAlignment="1" applyProtection="1">
      <alignment horizontal="left" vertical="center"/>
      <protection hidden="1"/>
    </xf>
    <xf numFmtId="0" fontId="10" fillId="0" borderId="182" xfId="0" applyFont="1" applyBorder="1" applyAlignment="1" applyProtection="1">
      <alignment horizontal="left" vertical="center"/>
      <protection hidden="1"/>
    </xf>
    <xf numFmtId="0" fontId="10" fillId="0" borderId="175" xfId="0" applyFont="1" applyBorder="1" applyAlignment="1" applyProtection="1">
      <alignment horizontal="left" vertical="center"/>
      <protection hidden="1"/>
    </xf>
    <xf numFmtId="0" fontId="10" fillId="0" borderId="176" xfId="0" applyFont="1" applyBorder="1" applyAlignment="1" applyProtection="1">
      <alignment horizontal="left" vertical="center"/>
      <protection hidden="1"/>
    </xf>
    <xf numFmtId="0" fontId="10" fillId="0" borderId="177" xfId="0" applyFont="1" applyBorder="1" applyAlignment="1" applyProtection="1">
      <alignment horizontal="left" vertical="center"/>
      <protection hidden="1"/>
    </xf>
    <xf numFmtId="10" fontId="5" fillId="7" borderId="188" xfId="0" applyNumberFormat="1" applyFont="1" applyFill="1" applyBorder="1" applyAlignment="1" applyProtection="1">
      <alignment horizontal="center" vertical="center"/>
      <protection locked="0"/>
    </xf>
    <xf numFmtId="3" fontId="10" fillId="0" borderId="17" xfId="0" applyNumberFormat="1" applyFont="1" applyBorder="1" applyAlignment="1" applyProtection="1">
      <alignment horizontal="center" vertical="center"/>
      <protection hidden="1"/>
    </xf>
    <xf numFmtId="3" fontId="10" fillId="6" borderId="21" xfId="0" applyNumberFormat="1" applyFont="1" applyFill="1" applyBorder="1" applyAlignment="1">
      <alignment horizontal="center" vertical="center"/>
    </xf>
    <xf numFmtId="3" fontId="10" fillId="0" borderId="18" xfId="0" applyNumberFormat="1" applyFont="1" applyBorder="1" applyAlignment="1">
      <alignment horizontal="center" vertical="center"/>
    </xf>
    <xf numFmtId="3" fontId="10" fillId="0" borderId="119" xfId="0" applyNumberFormat="1" applyFont="1" applyBorder="1" applyAlignment="1" applyProtection="1">
      <alignment horizontal="center" vertical="center"/>
      <protection hidden="1"/>
    </xf>
    <xf numFmtId="3" fontId="10" fillId="0" borderId="52" xfId="0" applyNumberFormat="1" applyFont="1" applyBorder="1" applyAlignment="1" applyProtection="1">
      <alignment horizontal="center" vertical="center"/>
      <protection hidden="1"/>
    </xf>
    <xf numFmtId="3" fontId="10" fillId="7" borderId="36" xfId="0" applyNumberFormat="1" applyFont="1" applyFill="1" applyBorder="1" applyAlignment="1" applyProtection="1">
      <alignment horizontal="center" vertical="center"/>
      <protection locked="0"/>
    </xf>
    <xf numFmtId="3" fontId="9" fillId="0" borderId="36" xfId="0" applyNumberFormat="1" applyFont="1" applyBorder="1" applyAlignment="1" applyProtection="1">
      <alignment horizontal="center" vertical="center"/>
      <protection hidden="1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3" fontId="10" fillId="6" borderId="36" xfId="0" applyNumberFormat="1" applyFont="1" applyFill="1" applyBorder="1" applyAlignment="1">
      <alignment horizontal="center" vertical="center"/>
    </xf>
    <xf numFmtId="3" fontId="9" fillId="0" borderId="22" xfId="0" applyNumberFormat="1" applyFont="1" applyBorder="1" applyAlignment="1" applyProtection="1">
      <alignment horizontal="center" vertical="center"/>
      <protection hidden="1"/>
    </xf>
    <xf numFmtId="3" fontId="10" fillId="7" borderId="22" xfId="0" applyNumberFormat="1" applyFont="1" applyFill="1" applyBorder="1" applyAlignment="1" applyProtection="1">
      <alignment horizontal="center" vertical="center"/>
      <protection locked="0" hidden="1"/>
    </xf>
    <xf numFmtId="164" fontId="43" fillId="7" borderId="22" xfId="0" applyNumberFormat="1" applyFont="1" applyFill="1" applyBorder="1" applyAlignment="1" applyProtection="1">
      <alignment horizontal="center" vertical="center"/>
      <protection locked="0"/>
    </xf>
    <xf numFmtId="164" fontId="43" fillId="0" borderId="35" xfId="0" applyNumberFormat="1" applyFont="1" applyBorder="1" applyAlignment="1">
      <alignment horizontal="center" vertical="center"/>
    </xf>
    <xf numFmtId="3" fontId="10" fillId="0" borderId="22" xfId="0" applyNumberFormat="1" applyFont="1" applyBorder="1" applyAlignment="1" applyProtection="1">
      <alignment horizontal="center" vertical="center"/>
      <protection hidden="1"/>
    </xf>
    <xf numFmtId="3" fontId="9" fillId="0" borderId="37" xfId="0" applyNumberFormat="1" applyFont="1" applyBorder="1" applyAlignment="1" applyProtection="1">
      <alignment horizontal="center" vertical="center"/>
      <protection hidden="1"/>
    </xf>
    <xf numFmtId="0" fontId="10" fillId="0" borderId="27" xfId="0" applyFont="1" applyBorder="1" applyAlignment="1" applyProtection="1">
      <alignment horizontal="left" vertical="center"/>
      <protection hidden="1"/>
    </xf>
    <xf numFmtId="0" fontId="59" fillId="0" borderId="72" xfId="0" applyFont="1" applyBorder="1" applyAlignment="1" applyProtection="1">
      <alignment horizontal="left" vertical="center"/>
      <protection hidden="1"/>
    </xf>
    <xf numFmtId="0" fontId="61" fillId="0" borderId="73" xfId="0" applyFont="1" applyBorder="1"/>
    <xf numFmtId="164" fontId="10" fillId="0" borderId="18" xfId="2" applyNumberFormat="1" applyFont="1" applyBorder="1" applyAlignment="1" applyProtection="1">
      <alignment horizontal="center" vertical="center"/>
      <protection hidden="1"/>
    </xf>
    <xf numFmtId="164" fontId="10" fillId="0" borderId="35" xfId="2" applyNumberFormat="1" applyFont="1" applyBorder="1" applyAlignment="1" applyProtection="1">
      <alignment horizontal="center" vertical="center"/>
      <protection hidden="1"/>
    </xf>
    <xf numFmtId="0" fontId="10" fillId="0" borderId="217" xfId="0" applyFont="1" applyBorder="1" applyAlignment="1" applyProtection="1">
      <alignment horizontal="left" vertical="center"/>
      <protection hidden="1"/>
    </xf>
    <xf numFmtId="0" fontId="10" fillId="0" borderId="218" xfId="0" applyFont="1" applyBorder="1" applyAlignment="1" applyProtection="1">
      <alignment horizontal="left" vertical="center"/>
      <protection hidden="1"/>
    </xf>
    <xf numFmtId="0" fontId="10" fillId="0" borderId="219" xfId="0" applyFont="1" applyBorder="1" applyAlignment="1" applyProtection="1">
      <alignment horizontal="left" vertical="center"/>
      <protection hidden="1"/>
    </xf>
    <xf numFmtId="164" fontId="10" fillId="6" borderId="20" xfId="0" applyNumberFormat="1" applyFont="1" applyFill="1" applyBorder="1" applyAlignment="1" applyProtection="1">
      <alignment horizontal="right"/>
      <protection hidden="1"/>
    </xf>
    <xf numFmtId="167" fontId="10" fillId="0" borderId="0" xfId="0" applyNumberFormat="1" applyFont="1" applyAlignment="1" applyProtection="1">
      <alignment horizontal="center"/>
      <protection hidden="1"/>
    </xf>
    <xf numFmtId="0" fontId="10" fillId="0" borderId="17" xfId="0" applyFont="1" applyBorder="1"/>
    <xf numFmtId="164" fontId="10" fillId="7" borderId="24" xfId="0" applyNumberFormat="1" applyFont="1" applyFill="1" applyBorder="1" applyAlignment="1" applyProtection="1">
      <alignment horizontal="center" vertical="center"/>
      <protection locked="0"/>
    </xf>
    <xf numFmtId="3" fontId="10" fillId="7" borderId="52" xfId="0" applyNumberFormat="1" applyFont="1" applyFill="1" applyBorder="1" applyAlignment="1" applyProtection="1">
      <alignment horizontal="center" vertical="center"/>
      <protection locked="0"/>
    </xf>
    <xf numFmtId="3" fontId="10" fillId="7" borderId="17" xfId="0" applyNumberFormat="1" applyFont="1" applyFill="1" applyBorder="1" applyAlignment="1" applyProtection="1">
      <alignment horizontal="center" vertical="center"/>
      <protection locked="0"/>
    </xf>
    <xf numFmtId="3" fontId="10" fillId="7" borderId="38" xfId="0" applyNumberFormat="1" applyFont="1" applyFill="1" applyBorder="1" applyAlignment="1" applyProtection="1">
      <alignment horizontal="center" vertical="center"/>
      <protection locked="0"/>
    </xf>
    <xf numFmtId="164" fontId="10" fillId="7" borderId="56" xfId="0" applyNumberFormat="1" applyFont="1" applyFill="1" applyBorder="1" applyAlignment="1" applyProtection="1">
      <alignment horizontal="center" vertical="center"/>
      <protection locked="0"/>
    </xf>
    <xf numFmtId="3" fontId="10" fillId="7" borderId="37" xfId="0" applyNumberFormat="1" applyFont="1" applyFill="1" applyBorder="1" applyAlignment="1" applyProtection="1">
      <alignment horizontal="center" vertical="center"/>
      <protection locked="0"/>
    </xf>
    <xf numFmtId="3" fontId="10" fillId="7" borderId="15" xfId="0" applyNumberFormat="1" applyFont="1" applyFill="1" applyBorder="1" applyAlignment="1" applyProtection="1">
      <alignment horizontal="center" vertical="center"/>
      <protection locked="0"/>
    </xf>
    <xf numFmtId="3" fontId="10" fillId="0" borderId="56" xfId="0" applyNumberFormat="1" applyFont="1" applyBorder="1" applyAlignment="1" applyProtection="1">
      <alignment horizontal="center" vertical="center"/>
      <protection hidden="1"/>
    </xf>
    <xf numFmtId="3" fontId="10" fillId="0" borderId="37" xfId="0" applyNumberFormat="1" applyFont="1" applyBorder="1" applyAlignment="1" applyProtection="1">
      <alignment horizontal="center" vertical="center"/>
      <protection hidden="1"/>
    </xf>
    <xf numFmtId="3" fontId="10" fillId="0" borderId="15" xfId="0" applyNumberFormat="1" applyFont="1" applyBorder="1" applyAlignment="1" applyProtection="1">
      <alignment horizontal="center" vertical="center"/>
      <protection hidden="1"/>
    </xf>
    <xf numFmtId="3" fontId="10" fillId="0" borderId="17" xfId="0" applyNumberFormat="1" applyFont="1" applyBorder="1" applyAlignment="1">
      <alignment horizontal="center" vertical="center"/>
    </xf>
    <xf numFmtId="3" fontId="10" fillId="0" borderId="24" xfId="0" applyNumberFormat="1" applyFont="1" applyBorder="1" applyAlignment="1">
      <alignment horizontal="center" vertical="center"/>
    </xf>
    <xf numFmtId="3" fontId="10" fillId="0" borderId="15" xfId="0" applyNumberFormat="1" applyFont="1" applyBorder="1" applyAlignment="1">
      <alignment horizontal="center" vertical="center"/>
    </xf>
    <xf numFmtId="3" fontId="10" fillId="0" borderId="56" xfId="0" applyNumberFormat="1" applyFont="1" applyBorder="1" applyAlignment="1">
      <alignment horizontal="center" vertical="center"/>
    </xf>
    <xf numFmtId="3" fontId="10" fillId="0" borderId="51" xfId="0" applyNumberFormat="1" applyFont="1" applyBorder="1" applyAlignment="1" applyProtection="1">
      <alignment horizontal="center" vertical="center"/>
      <protection hidden="1"/>
    </xf>
    <xf numFmtId="3" fontId="10" fillId="0" borderId="26" xfId="0" applyNumberFormat="1" applyFont="1" applyBorder="1" applyAlignment="1">
      <alignment horizontal="center" vertical="center"/>
    </xf>
    <xf numFmtId="3" fontId="10" fillId="0" borderId="26" xfId="0" applyNumberFormat="1" applyFont="1" applyBorder="1" applyAlignment="1" applyProtection="1">
      <alignment horizontal="center" vertical="center"/>
      <protection hidden="1"/>
    </xf>
    <xf numFmtId="3" fontId="10" fillId="0" borderId="61" xfId="0" applyNumberFormat="1" applyFont="1" applyBorder="1" applyAlignment="1" applyProtection="1">
      <alignment horizontal="center" vertical="center"/>
      <protection hidden="1"/>
    </xf>
    <xf numFmtId="3" fontId="10" fillId="7" borderId="0" xfId="0" applyNumberFormat="1" applyFont="1" applyFill="1" applyAlignment="1" applyProtection="1">
      <alignment horizontal="center" vertical="center"/>
      <protection locked="0"/>
    </xf>
    <xf numFmtId="3" fontId="10" fillId="7" borderId="90" xfId="0" applyNumberFormat="1" applyFont="1" applyFill="1" applyBorder="1" applyAlignment="1" applyProtection="1">
      <alignment horizontal="center" vertical="center"/>
      <protection locked="0"/>
    </xf>
    <xf numFmtId="164" fontId="10" fillId="7" borderId="94" xfId="0" applyNumberFormat="1" applyFont="1" applyFill="1" applyBorder="1" applyAlignment="1" applyProtection="1">
      <alignment horizontal="center" vertical="center"/>
      <protection locked="0"/>
    </xf>
    <xf numFmtId="3" fontId="10" fillId="0" borderId="93" xfId="0" applyNumberFormat="1" applyFont="1" applyBorder="1" applyAlignment="1" applyProtection="1">
      <alignment horizontal="center" vertical="center"/>
      <protection hidden="1"/>
    </xf>
    <xf numFmtId="3" fontId="10" fillId="0" borderId="95" xfId="0" applyNumberFormat="1" applyFont="1" applyBorder="1" applyAlignment="1">
      <alignment horizontal="center" vertical="center"/>
    </xf>
    <xf numFmtId="3" fontId="10" fillId="0" borderId="94" xfId="0" applyNumberFormat="1" applyFont="1" applyBorder="1" applyAlignment="1">
      <alignment horizontal="center" vertical="center"/>
    </xf>
    <xf numFmtId="3" fontId="10" fillId="0" borderId="94" xfId="0" applyNumberFormat="1" applyFont="1" applyBorder="1" applyAlignment="1" applyProtection="1">
      <alignment horizontal="center" vertical="center"/>
      <protection hidden="1"/>
    </xf>
    <xf numFmtId="3" fontId="10" fillId="0" borderId="89" xfId="0" applyNumberFormat="1" applyFont="1" applyBorder="1" applyAlignment="1" applyProtection="1">
      <alignment horizontal="center" vertical="center"/>
      <protection hidden="1"/>
    </xf>
    <xf numFmtId="3" fontId="10" fillId="7" borderId="93" xfId="0" applyNumberFormat="1" applyFont="1" applyFill="1" applyBorder="1" applyAlignment="1" applyProtection="1">
      <alignment horizontal="center" vertical="center"/>
      <protection locked="0"/>
    </xf>
    <xf numFmtId="3" fontId="10" fillId="7" borderId="95" xfId="0" applyNumberFormat="1" applyFont="1" applyFill="1" applyBorder="1" applyAlignment="1" applyProtection="1">
      <alignment horizontal="center" vertical="center"/>
      <protection locked="0"/>
    </xf>
    <xf numFmtId="3" fontId="9" fillId="0" borderId="62" xfId="0" applyNumberFormat="1" applyFont="1" applyBorder="1" applyAlignment="1" applyProtection="1">
      <alignment horizontal="center" vertical="center"/>
      <protection hidden="1"/>
    </xf>
    <xf numFmtId="0" fontId="9" fillId="6" borderId="34" xfId="0" applyFont="1" applyFill="1" applyBorder="1" applyAlignment="1" applyProtection="1">
      <alignment horizontal="center" vertical="center"/>
      <protection hidden="1"/>
    </xf>
    <xf numFmtId="3" fontId="9" fillId="0" borderId="53" xfId="0" applyNumberFormat="1" applyFont="1" applyBorder="1" applyAlignment="1" applyProtection="1">
      <alignment horizontal="center" vertical="center"/>
      <protection hidden="1"/>
    </xf>
    <xf numFmtId="3" fontId="9" fillId="0" borderId="57" xfId="0" applyNumberFormat="1" applyFont="1" applyBorder="1" applyAlignment="1" applyProtection="1">
      <alignment horizontal="center" vertical="center"/>
      <protection hidden="1"/>
    </xf>
    <xf numFmtId="3" fontId="9" fillId="0" borderId="96" xfId="0" applyNumberFormat="1" applyFont="1" applyBorder="1" applyAlignment="1" applyProtection="1">
      <alignment horizontal="center" vertical="center"/>
      <protection hidden="1"/>
    </xf>
    <xf numFmtId="3" fontId="9" fillId="0" borderId="65" xfId="0" applyNumberFormat="1" applyFont="1" applyBorder="1" applyAlignment="1" applyProtection="1">
      <alignment horizontal="center" vertical="center"/>
      <protection hidden="1"/>
    </xf>
    <xf numFmtId="3" fontId="9" fillId="0" borderId="42" xfId="0" applyNumberFormat="1" applyFont="1" applyBorder="1" applyAlignment="1" applyProtection="1">
      <alignment horizontal="center" vertical="center"/>
      <protection hidden="1"/>
    </xf>
    <xf numFmtId="3" fontId="9" fillId="0" borderId="5" xfId="0" applyNumberFormat="1" applyFont="1" applyBorder="1" applyAlignment="1" applyProtection="1">
      <alignment horizontal="center" vertical="center"/>
      <protection hidden="1"/>
    </xf>
    <xf numFmtId="0" fontId="9" fillId="0" borderId="5" xfId="0" applyFont="1" applyBorder="1" applyAlignment="1" applyProtection="1">
      <alignment horizontal="center" vertical="center"/>
      <protection hidden="1"/>
    </xf>
    <xf numFmtId="3" fontId="10" fillId="8" borderId="52" xfId="0" applyNumberFormat="1" applyFont="1" applyFill="1" applyBorder="1" applyAlignment="1" applyProtection="1">
      <alignment horizontal="center" vertical="center"/>
      <protection locked="0"/>
    </xf>
    <xf numFmtId="3" fontId="10" fillId="8" borderId="17" xfId="0" applyNumberFormat="1" applyFont="1" applyFill="1" applyBorder="1" applyAlignment="1" applyProtection="1">
      <alignment horizontal="center" vertical="center"/>
      <protection hidden="1"/>
    </xf>
    <xf numFmtId="3" fontId="10" fillId="8" borderId="33" xfId="0" applyNumberFormat="1" applyFont="1" applyFill="1" applyBorder="1" applyAlignment="1" applyProtection="1">
      <alignment horizontal="center" vertical="center"/>
      <protection hidden="1"/>
    </xf>
    <xf numFmtId="3" fontId="10" fillId="8" borderId="59" xfId="0" applyNumberFormat="1" applyFont="1" applyFill="1" applyBorder="1" applyAlignment="1" applyProtection="1">
      <alignment horizontal="center" vertical="center"/>
      <protection hidden="1"/>
    </xf>
    <xf numFmtId="3" fontId="10" fillId="8" borderId="52" xfId="0" applyNumberFormat="1" applyFont="1" applyFill="1" applyBorder="1" applyAlignment="1" applyProtection="1">
      <alignment horizontal="center" vertical="center"/>
      <protection hidden="1"/>
    </xf>
    <xf numFmtId="164" fontId="10" fillId="7" borderId="21" xfId="0" applyNumberFormat="1" applyFont="1" applyFill="1" applyBorder="1" applyAlignment="1" applyProtection="1">
      <alignment horizontal="center" vertical="center"/>
      <protection locked="0"/>
    </xf>
    <xf numFmtId="3" fontId="10" fillId="6" borderId="52" xfId="0" applyNumberFormat="1" applyFont="1" applyFill="1" applyBorder="1" applyAlignment="1" applyProtection="1">
      <alignment horizontal="center" vertical="center"/>
      <protection hidden="1"/>
    </xf>
    <xf numFmtId="3" fontId="10" fillId="6" borderId="17" xfId="0" applyNumberFormat="1" applyFont="1" applyFill="1" applyBorder="1" applyAlignment="1" applyProtection="1">
      <alignment horizontal="center" vertical="center"/>
      <protection hidden="1"/>
    </xf>
    <xf numFmtId="3" fontId="10" fillId="6" borderId="24" xfId="0" applyNumberFormat="1" applyFont="1" applyFill="1" applyBorder="1" applyAlignment="1" applyProtection="1">
      <alignment horizontal="center" vertical="center"/>
      <protection hidden="1"/>
    </xf>
    <xf numFmtId="3" fontId="10" fillId="6" borderId="11" xfId="0" applyNumberFormat="1" applyFont="1" applyFill="1" applyBorder="1" applyAlignment="1">
      <alignment horizontal="center" vertical="center"/>
    </xf>
    <xf numFmtId="3" fontId="10" fillId="6" borderId="11" xfId="0" applyNumberFormat="1" applyFont="1" applyFill="1" applyBorder="1" applyAlignment="1" applyProtection="1">
      <alignment horizontal="center" vertical="center"/>
      <protection hidden="1"/>
    </xf>
    <xf numFmtId="3" fontId="10" fillId="6" borderId="35" xfId="0" applyNumberFormat="1" applyFont="1" applyFill="1" applyBorder="1" applyAlignment="1" applyProtection="1">
      <alignment horizontal="center" vertical="center"/>
      <protection hidden="1"/>
    </xf>
    <xf numFmtId="3" fontId="10" fillId="7" borderId="43" xfId="0" applyNumberFormat="1" applyFont="1" applyFill="1" applyBorder="1" applyAlignment="1" applyProtection="1">
      <alignment horizontal="center" vertical="center"/>
      <protection locked="0"/>
    </xf>
    <xf numFmtId="3" fontId="10" fillId="8" borderId="11" xfId="0" applyNumberFormat="1" applyFont="1" applyFill="1" applyBorder="1" applyAlignment="1" applyProtection="1">
      <alignment horizontal="center" vertical="center"/>
      <protection hidden="1"/>
    </xf>
    <xf numFmtId="3" fontId="10" fillId="0" borderId="36" xfId="0" applyNumberFormat="1" applyFont="1" applyBorder="1" applyAlignment="1">
      <alignment horizontal="center" vertical="center"/>
    </xf>
    <xf numFmtId="164" fontId="10" fillId="7" borderId="210" xfId="0" applyNumberFormat="1" applyFont="1" applyFill="1" applyBorder="1" applyAlignment="1" applyProtection="1">
      <alignment horizontal="center" vertical="center"/>
      <protection locked="0"/>
    </xf>
    <xf numFmtId="3" fontId="10" fillId="6" borderId="98" xfId="0" applyNumberFormat="1" applyFont="1" applyFill="1" applyBorder="1" applyAlignment="1">
      <alignment horizontal="center" vertical="center"/>
    </xf>
    <xf numFmtId="3" fontId="10" fillId="6" borderId="95" xfId="0" applyNumberFormat="1" applyFont="1" applyFill="1" applyBorder="1" applyAlignment="1">
      <alignment horizontal="center" vertical="center"/>
    </xf>
    <xf numFmtId="3" fontId="10" fillId="6" borderId="94" xfId="0" applyNumberFormat="1" applyFont="1" applyFill="1" applyBorder="1" applyAlignment="1">
      <alignment horizontal="center" vertical="center"/>
    </xf>
    <xf numFmtId="3" fontId="10" fillId="6" borderId="93" xfId="0" applyNumberFormat="1" applyFont="1" applyFill="1" applyBorder="1" applyAlignment="1">
      <alignment horizontal="center" vertical="center"/>
    </xf>
    <xf numFmtId="3" fontId="10" fillId="6" borderId="95" xfId="0" applyNumberFormat="1" applyFont="1" applyFill="1" applyBorder="1" applyAlignment="1" applyProtection="1">
      <alignment horizontal="center" vertical="center"/>
      <protection hidden="1"/>
    </xf>
    <xf numFmtId="3" fontId="10" fillId="6" borderId="89" xfId="0" applyNumberFormat="1" applyFont="1" applyFill="1" applyBorder="1" applyAlignment="1" applyProtection="1">
      <alignment horizontal="center" vertical="center"/>
      <protection hidden="1"/>
    </xf>
    <xf numFmtId="3" fontId="10" fillId="0" borderId="98" xfId="0" applyNumberFormat="1" applyFont="1" applyBorder="1" applyAlignment="1">
      <alignment horizontal="center" vertical="center"/>
    </xf>
    <xf numFmtId="3" fontId="10" fillId="8" borderId="95" xfId="0" applyNumberFormat="1" applyFont="1" applyFill="1" applyBorder="1" applyAlignment="1" applyProtection="1">
      <alignment horizontal="center" vertical="center"/>
      <protection hidden="1"/>
    </xf>
    <xf numFmtId="3" fontId="9" fillId="8" borderId="62" xfId="0" applyNumberFormat="1" applyFont="1" applyFill="1" applyBorder="1" applyAlignment="1" applyProtection="1">
      <alignment horizontal="center" vertical="center"/>
      <protection hidden="1"/>
    </xf>
    <xf numFmtId="164" fontId="9" fillId="6" borderId="57" xfId="0" applyNumberFormat="1" applyFont="1" applyFill="1" applyBorder="1" applyAlignment="1" applyProtection="1">
      <alignment horizontal="center" vertical="center"/>
      <protection hidden="1"/>
    </xf>
    <xf numFmtId="3" fontId="9" fillId="8" borderId="53" xfId="0" applyNumberFormat="1" applyFont="1" applyFill="1" applyBorder="1" applyAlignment="1" applyProtection="1">
      <alignment horizontal="center" vertical="center"/>
      <protection hidden="1"/>
    </xf>
    <xf numFmtId="3" fontId="9" fillId="8" borderId="65" xfId="0" applyNumberFormat="1" applyFont="1" applyFill="1" applyBorder="1" applyAlignment="1" applyProtection="1">
      <alignment horizontal="center" vertical="center"/>
      <protection hidden="1"/>
    </xf>
    <xf numFmtId="3" fontId="9" fillId="8" borderId="42" xfId="0" applyNumberFormat="1" applyFont="1" applyFill="1" applyBorder="1" applyAlignment="1" applyProtection="1">
      <alignment horizontal="center" vertical="center"/>
      <protection hidden="1"/>
    </xf>
    <xf numFmtId="3" fontId="9" fillId="8" borderId="69" xfId="0" applyNumberFormat="1" applyFont="1" applyFill="1" applyBorder="1" applyAlignment="1" applyProtection="1">
      <alignment horizontal="center" vertical="center"/>
      <protection hidden="1"/>
    </xf>
    <xf numFmtId="3" fontId="9" fillId="7" borderId="46" xfId="0" applyNumberFormat="1" applyFont="1" applyFill="1" applyBorder="1" applyAlignment="1" applyProtection="1">
      <alignment horizontal="center" vertical="center"/>
      <protection locked="0"/>
    </xf>
    <xf numFmtId="0" fontId="9" fillId="6" borderId="5" xfId="0" applyFont="1" applyFill="1" applyBorder="1" applyAlignment="1" applyProtection="1">
      <alignment horizontal="center" vertical="center"/>
      <protection hidden="1"/>
    </xf>
    <xf numFmtId="164" fontId="9" fillId="7" borderId="7" xfId="0" applyNumberFormat="1" applyFont="1" applyFill="1" applyBorder="1" applyAlignment="1" applyProtection="1">
      <alignment horizontal="center" vertical="center"/>
      <protection locked="0"/>
    </xf>
    <xf numFmtId="3" fontId="9" fillId="6" borderId="4" xfId="0" applyNumberFormat="1" applyFont="1" applyFill="1" applyBorder="1" applyAlignment="1">
      <alignment horizontal="center" vertical="center"/>
    </xf>
    <xf numFmtId="3" fontId="9" fillId="6" borderId="46" xfId="0" applyNumberFormat="1" applyFont="1" applyFill="1" applyBorder="1" applyAlignment="1">
      <alignment horizontal="center" vertical="center"/>
    </xf>
    <xf numFmtId="3" fontId="9" fillId="7" borderId="6" xfId="0" applyNumberFormat="1" applyFont="1" applyFill="1" applyBorder="1" applyAlignment="1" applyProtection="1">
      <alignment horizontal="center" vertical="center"/>
      <protection locked="0"/>
    </xf>
    <xf numFmtId="3" fontId="9" fillId="0" borderId="5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3" fontId="2" fillId="0" borderId="5" xfId="0" applyNumberFormat="1" applyFont="1" applyBorder="1" applyAlignment="1">
      <alignment horizontal="center" vertical="center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0" borderId="5" xfId="0" applyFont="1" applyBorder="1" applyAlignment="1">
      <alignment horizontal="center" vertical="center"/>
    </xf>
    <xf numFmtId="3" fontId="9" fillId="0" borderId="60" xfId="0" applyNumberFormat="1" applyFont="1" applyBorder="1" applyAlignment="1" applyProtection="1">
      <alignment horizontal="center" vertical="center"/>
      <protection hidden="1"/>
    </xf>
    <xf numFmtId="0" fontId="9" fillId="0" borderId="60" xfId="0" applyFont="1" applyBorder="1" applyAlignment="1" applyProtection="1">
      <alignment horizontal="center" vertical="center"/>
      <protection hidden="1"/>
    </xf>
    <xf numFmtId="0" fontId="9" fillId="6" borderId="26" xfId="0" applyFont="1" applyFill="1" applyBorder="1" applyAlignment="1" applyProtection="1">
      <alignment horizontal="center" vertical="center"/>
      <protection hidden="1"/>
    </xf>
    <xf numFmtId="3" fontId="9" fillId="0" borderId="46" xfId="0" applyNumberFormat="1" applyFont="1" applyBorder="1" applyAlignment="1" applyProtection="1">
      <alignment horizontal="center" vertical="center"/>
      <protection hidden="1"/>
    </xf>
    <xf numFmtId="0" fontId="9" fillId="6" borderId="46" xfId="0" applyFont="1" applyFill="1" applyBorder="1" applyAlignment="1" applyProtection="1">
      <alignment horizontal="center" vertical="center"/>
      <protection hidden="1"/>
    </xf>
    <xf numFmtId="0" fontId="9" fillId="6" borderId="7" xfId="0" applyFont="1" applyFill="1" applyBorder="1" applyAlignment="1" applyProtection="1">
      <alignment horizontal="center" vertical="center"/>
      <protection hidden="1"/>
    </xf>
    <xf numFmtId="3" fontId="9" fillId="0" borderId="196" xfId="0" applyNumberFormat="1" applyFont="1" applyBorder="1" applyAlignment="1" applyProtection="1">
      <alignment horizontal="center" vertical="center"/>
      <protection hidden="1"/>
    </xf>
    <xf numFmtId="3" fontId="9" fillId="0" borderId="197" xfId="0" applyNumberFormat="1" applyFont="1" applyBorder="1" applyAlignment="1" applyProtection="1">
      <alignment horizontal="center" vertical="center"/>
      <protection hidden="1"/>
    </xf>
    <xf numFmtId="3" fontId="9" fillId="0" borderId="198" xfId="0" applyNumberFormat="1" applyFont="1" applyBorder="1" applyAlignment="1" applyProtection="1">
      <alignment horizontal="center" vertical="center"/>
      <protection hidden="1"/>
    </xf>
    <xf numFmtId="3" fontId="4" fillId="0" borderId="49" xfId="0" applyNumberFormat="1" applyFont="1" applyBorder="1" applyAlignment="1" applyProtection="1">
      <alignment horizontal="center" vertical="center"/>
      <protection hidden="1"/>
    </xf>
    <xf numFmtId="167" fontId="4" fillId="0" borderId="50" xfId="0" applyNumberFormat="1" applyFont="1" applyBorder="1" applyAlignment="1" applyProtection="1">
      <alignment horizontal="center" vertical="center"/>
      <protection hidden="1"/>
    </xf>
    <xf numFmtId="3" fontId="10" fillId="2" borderId="36" xfId="0" applyNumberFormat="1" applyFont="1" applyFill="1" applyBorder="1" applyAlignment="1" applyProtection="1">
      <alignment horizontal="center" vertical="center"/>
      <protection hidden="1"/>
    </xf>
    <xf numFmtId="167" fontId="10" fillId="0" borderId="35" xfId="0" applyNumberFormat="1" applyFont="1" applyBorder="1" applyAlignment="1" applyProtection="1">
      <alignment horizontal="center" vertical="center"/>
      <protection hidden="1"/>
    </xf>
    <xf numFmtId="3" fontId="5" fillId="7" borderId="36" xfId="0" applyNumberFormat="1" applyFont="1" applyFill="1" applyBorder="1" applyAlignment="1" applyProtection="1">
      <alignment horizontal="center" vertical="center"/>
      <protection locked="0"/>
    </xf>
    <xf numFmtId="167" fontId="5" fillId="6" borderId="35" xfId="0" applyNumberFormat="1" applyFont="1" applyFill="1" applyBorder="1" applyAlignment="1" applyProtection="1">
      <alignment horizontal="center" vertical="center"/>
      <protection hidden="1"/>
    </xf>
    <xf numFmtId="167" fontId="5" fillId="7" borderId="36" xfId="0" applyNumberFormat="1" applyFont="1" applyFill="1" applyBorder="1" applyAlignment="1" applyProtection="1">
      <alignment horizontal="center" vertical="center"/>
      <protection locked="0"/>
    </xf>
    <xf numFmtId="4" fontId="5" fillId="7" borderId="36" xfId="0" applyNumberFormat="1" applyFont="1" applyFill="1" applyBorder="1" applyAlignment="1" applyProtection="1">
      <alignment horizontal="center" vertical="center"/>
      <protection locked="0"/>
    </xf>
    <xf numFmtId="4" fontId="5" fillId="6" borderId="35" xfId="0" applyNumberFormat="1" applyFont="1" applyFill="1" applyBorder="1" applyAlignment="1" applyProtection="1">
      <alignment horizontal="center" vertical="center"/>
      <protection hidden="1"/>
    </xf>
    <xf numFmtId="167" fontId="5" fillId="6" borderId="35" xfId="0" applyNumberFormat="1" applyFont="1" applyFill="1" applyBorder="1" applyAlignment="1">
      <alignment horizontal="center" vertical="center"/>
    </xf>
    <xf numFmtId="3" fontId="10" fillId="7" borderId="51" xfId="0" applyNumberFormat="1" applyFont="1" applyFill="1" applyBorder="1" applyAlignment="1" applyProtection="1">
      <alignment horizontal="center" vertical="center"/>
      <protection locked="0"/>
    </xf>
    <xf numFmtId="167" fontId="10" fillId="6" borderId="33" xfId="0" applyNumberFormat="1" applyFont="1" applyFill="1" applyBorder="1" applyAlignment="1">
      <alignment horizontal="center" vertical="center"/>
    </xf>
    <xf numFmtId="167" fontId="10" fillId="6" borderId="33" xfId="0" applyNumberFormat="1" applyFont="1" applyFill="1" applyBorder="1" applyAlignment="1" applyProtection="1">
      <alignment horizontal="center" vertical="center"/>
      <protection hidden="1"/>
    </xf>
    <xf numFmtId="167" fontId="5" fillId="6" borderId="33" xfId="0" applyNumberFormat="1" applyFont="1" applyFill="1" applyBorder="1" applyAlignment="1" applyProtection="1">
      <alignment horizontal="center" vertical="center"/>
      <protection hidden="1"/>
    </xf>
    <xf numFmtId="3" fontId="4" fillId="0" borderId="47" xfId="0" applyNumberFormat="1" applyFont="1" applyBorder="1" applyAlignment="1" applyProtection="1">
      <alignment horizontal="center" vertical="center"/>
      <protection hidden="1"/>
    </xf>
    <xf numFmtId="167" fontId="10" fillId="6" borderId="35" xfId="0" applyNumberFormat="1" applyFont="1" applyFill="1" applyBorder="1" applyAlignment="1" applyProtection="1">
      <alignment horizontal="center" vertical="center"/>
      <protection hidden="1"/>
    </xf>
    <xf numFmtId="164" fontId="5" fillId="6" borderId="35" xfId="0" applyNumberFormat="1" applyFont="1" applyFill="1" applyBorder="1" applyAlignment="1" applyProtection="1">
      <alignment horizontal="center" vertical="center"/>
      <protection hidden="1"/>
    </xf>
    <xf numFmtId="10" fontId="5" fillId="7" borderId="36" xfId="0" applyNumberFormat="1" applyFont="1" applyFill="1" applyBorder="1" applyAlignment="1" applyProtection="1">
      <alignment horizontal="center" vertical="center"/>
      <protection locked="0"/>
    </xf>
    <xf numFmtId="164" fontId="5" fillId="6" borderId="18" xfId="0" applyNumberFormat="1" applyFont="1" applyFill="1" applyBorder="1" applyAlignment="1" applyProtection="1">
      <alignment horizontal="center" vertical="center"/>
      <protection hidden="1"/>
    </xf>
    <xf numFmtId="3" fontId="5" fillId="0" borderId="36" xfId="0" applyNumberFormat="1" applyFont="1" applyBorder="1" applyAlignment="1" applyProtection="1">
      <alignment horizontal="center" vertical="center"/>
      <protection hidden="1"/>
    </xf>
    <xf numFmtId="167" fontId="5" fillId="6" borderId="18" xfId="0" applyNumberFormat="1" applyFont="1" applyFill="1" applyBorder="1" applyAlignment="1" applyProtection="1">
      <alignment horizontal="center" vertical="center"/>
      <protection hidden="1"/>
    </xf>
    <xf numFmtId="3" fontId="52" fillId="7" borderId="36" xfId="0" applyNumberFormat="1" applyFont="1" applyFill="1" applyBorder="1" applyAlignment="1" applyProtection="1">
      <alignment horizontal="center" vertical="center"/>
      <protection locked="0"/>
    </xf>
    <xf numFmtId="167" fontId="52" fillId="6" borderId="18" xfId="0" applyNumberFormat="1" applyFont="1" applyFill="1" applyBorder="1" applyAlignment="1" applyProtection="1">
      <alignment horizontal="center" vertical="center"/>
      <protection hidden="1"/>
    </xf>
    <xf numFmtId="167" fontId="52" fillId="6" borderId="35" xfId="0" applyNumberFormat="1" applyFont="1" applyFill="1" applyBorder="1" applyAlignment="1" applyProtection="1">
      <alignment horizontal="center" vertical="center"/>
      <protection hidden="1"/>
    </xf>
    <xf numFmtId="10" fontId="5" fillId="7" borderId="36" xfId="0" applyNumberFormat="1" applyFont="1" applyFill="1" applyBorder="1" applyAlignment="1" applyProtection="1">
      <alignment horizontal="center" vertical="center"/>
      <protection locked="0" hidden="1"/>
    </xf>
    <xf numFmtId="167" fontId="10" fillId="6" borderId="18" xfId="0" applyNumberFormat="1" applyFont="1" applyFill="1" applyBorder="1" applyAlignment="1" applyProtection="1">
      <alignment horizontal="center" vertical="center"/>
      <protection hidden="1"/>
    </xf>
    <xf numFmtId="167" fontId="10" fillId="6" borderId="21" xfId="0" applyNumberFormat="1" applyFont="1" applyFill="1" applyBorder="1" applyAlignment="1" applyProtection="1">
      <alignment horizontal="center" vertical="center"/>
      <protection hidden="1"/>
    </xf>
    <xf numFmtId="3" fontId="48" fillId="7" borderId="36" xfId="0" applyNumberFormat="1" applyFont="1" applyFill="1" applyBorder="1" applyAlignment="1" applyProtection="1">
      <alignment horizontal="center" vertical="center"/>
      <protection locked="0"/>
    </xf>
    <xf numFmtId="167" fontId="48" fillId="6" borderId="35" xfId="0" applyNumberFormat="1" applyFont="1" applyFill="1" applyBorder="1" applyAlignment="1" applyProtection="1">
      <alignment horizontal="center" vertical="center"/>
      <protection hidden="1"/>
    </xf>
    <xf numFmtId="167" fontId="48" fillId="6" borderId="21" xfId="0" applyNumberFormat="1" applyFont="1" applyFill="1" applyBorder="1" applyAlignment="1" applyProtection="1">
      <alignment horizontal="center" vertical="center"/>
      <protection hidden="1"/>
    </xf>
    <xf numFmtId="3" fontId="5" fillId="0" borderId="37" xfId="0" applyNumberFormat="1" applyFont="1" applyBorder="1" applyAlignment="1" applyProtection="1">
      <alignment horizontal="center" vertical="center"/>
      <protection hidden="1"/>
    </xf>
    <xf numFmtId="167" fontId="5" fillId="0" borderId="55" xfId="0" applyNumberFormat="1" applyFont="1" applyBorder="1" applyAlignment="1" applyProtection="1">
      <alignment horizontal="center" vertical="center"/>
      <protection hidden="1"/>
    </xf>
    <xf numFmtId="3" fontId="4" fillId="0" borderId="16" xfId="0" applyNumberFormat="1" applyFont="1" applyBorder="1" applyAlignment="1" applyProtection="1">
      <alignment horizontal="center" vertical="center"/>
      <protection hidden="1"/>
    </xf>
    <xf numFmtId="167" fontId="4" fillId="0" borderId="6" xfId="0" applyNumberFormat="1" applyFont="1" applyBorder="1" applyAlignment="1" applyProtection="1">
      <alignment horizontal="center" vertical="center"/>
      <protection hidden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167" fontId="4" fillId="0" borderId="30" xfId="0" applyNumberFormat="1" applyFont="1" applyBorder="1" applyAlignment="1" applyProtection="1">
      <alignment horizontal="center" vertical="center"/>
      <protection hidden="1"/>
    </xf>
    <xf numFmtId="3" fontId="10" fillId="0" borderId="49" xfId="0" applyNumberFormat="1" applyFont="1" applyBorder="1" applyAlignment="1" applyProtection="1">
      <alignment horizontal="center" vertical="center"/>
      <protection hidden="1"/>
    </xf>
    <xf numFmtId="167" fontId="10" fillId="0" borderId="50" xfId="0" applyNumberFormat="1" applyFont="1" applyBorder="1" applyAlignment="1" applyProtection="1">
      <alignment horizontal="center" vertical="center"/>
      <protection hidden="1"/>
    </xf>
    <xf numFmtId="167" fontId="5" fillId="6" borderId="23" xfId="0" applyNumberFormat="1" applyFont="1" applyFill="1" applyBorder="1" applyAlignment="1" applyProtection="1">
      <alignment horizontal="center" vertical="center"/>
      <protection hidden="1"/>
    </xf>
    <xf numFmtId="3" fontId="5" fillId="7" borderId="22" xfId="0" applyNumberFormat="1" applyFont="1" applyFill="1" applyBorder="1" applyAlignment="1" applyProtection="1">
      <alignment horizontal="center" vertical="center"/>
      <protection locked="0"/>
    </xf>
    <xf numFmtId="167" fontId="5" fillId="6" borderId="55" xfId="0" applyNumberFormat="1" applyFont="1" applyFill="1" applyBorder="1" applyAlignment="1" applyProtection="1">
      <alignment horizontal="center" vertical="center"/>
      <protection hidden="1"/>
    </xf>
    <xf numFmtId="1" fontId="5" fillId="7" borderId="36" xfId="0" applyNumberFormat="1" applyFont="1" applyFill="1" applyBorder="1" applyAlignment="1" applyProtection="1">
      <alignment horizontal="center" vertical="center"/>
      <protection locked="0"/>
    </xf>
    <xf numFmtId="1" fontId="5" fillId="6" borderId="35" xfId="0" applyNumberFormat="1" applyFont="1" applyFill="1" applyBorder="1" applyAlignment="1" applyProtection="1">
      <alignment horizontal="center" vertical="center"/>
      <protection hidden="1"/>
    </xf>
    <xf numFmtId="3" fontId="5" fillId="7" borderId="52" xfId="0" applyNumberFormat="1" applyFont="1" applyFill="1" applyBorder="1" applyAlignment="1" applyProtection="1">
      <alignment horizontal="center" vertical="center"/>
      <protection locked="0"/>
    </xf>
    <xf numFmtId="3" fontId="5" fillId="6" borderId="33" xfId="0" applyNumberFormat="1" applyFont="1" applyFill="1" applyBorder="1" applyAlignment="1" applyProtection="1">
      <alignment horizontal="center" vertical="center"/>
      <protection hidden="1"/>
    </xf>
    <xf numFmtId="164" fontId="5" fillId="7" borderId="52" xfId="0" applyNumberFormat="1" applyFont="1" applyFill="1" applyBorder="1" applyAlignment="1" applyProtection="1">
      <alignment horizontal="center" vertical="center"/>
      <protection locked="0"/>
    </xf>
    <xf numFmtId="3" fontId="5" fillId="7" borderId="37" xfId="0" applyNumberFormat="1" applyFont="1" applyFill="1" applyBorder="1" applyAlignment="1" applyProtection="1">
      <alignment horizontal="center" vertical="center"/>
      <protection locked="0"/>
    </xf>
    <xf numFmtId="3" fontId="10" fillId="0" borderId="79" xfId="0" applyNumberFormat="1" applyFont="1" applyBorder="1" applyAlignment="1" applyProtection="1">
      <alignment horizontal="center" vertical="center"/>
      <protection hidden="1"/>
    </xf>
    <xf numFmtId="3" fontId="10" fillId="7" borderId="4" xfId="0" applyNumberFormat="1" applyFont="1" applyFill="1" applyBorder="1" applyAlignment="1" applyProtection="1">
      <alignment horizontal="center" vertical="center"/>
      <protection locked="0"/>
    </xf>
    <xf numFmtId="167" fontId="10" fillId="0" borderId="30" xfId="0" applyNumberFormat="1" applyFont="1" applyBorder="1" applyAlignment="1" applyProtection="1">
      <alignment horizontal="center" vertical="center"/>
      <protection hidden="1"/>
    </xf>
    <xf numFmtId="3" fontId="10" fillId="7" borderId="47" xfId="0" applyNumberFormat="1" applyFont="1" applyFill="1" applyBorder="1" applyAlignment="1" applyProtection="1">
      <alignment horizontal="center" vertical="center"/>
      <protection locked="0"/>
    </xf>
    <xf numFmtId="167" fontId="10" fillId="0" borderId="6" xfId="0" applyNumberFormat="1" applyFont="1" applyBorder="1" applyAlignment="1" applyProtection="1">
      <alignment horizontal="center" vertical="center"/>
      <protection hidden="1"/>
    </xf>
    <xf numFmtId="167" fontId="10" fillId="0" borderId="33" xfId="0" applyNumberFormat="1" applyFont="1" applyBorder="1" applyAlignment="1" applyProtection="1">
      <alignment horizontal="center" vertical="center"/>
      <protection hidden="1"/>
    </xf>
    <xf numFmtId="167" fontId="5" fillId="5" borderId="35" xfId="0" applyNumberFormat="1" applyFont="1" applyFill="1" applyBorder="1" applyAlignment="1" applyProtection="1">
      <alignment horizontal="center" vertical="center"/>
      <protection hidden="1"/>
    </xf>
    <xf numFmtId="167" fontId="5" fillId="5" borderId="23" xfId="0" applyNumberFormat="1" applyFont="1" applyFill="1" applyBorder="1" applyAlignment="1" applyProtection="1">
      <alignment horizontal="center" vertical="center"/>
      <protection hidden="1"/>
    </xf>
    <xf numFmtId="167" fontId="5" fillId="6" borderId="61" xfId="0" applyNumberFormat="1" applyFont="1" applyFill="1" applyBorder="1" applyAlignment="1" applyProtection="1">
      <alignment horizontal="center" vertical="center"/>
      <protection hidden="1"/>
    </xf>
    <xf numFmtId="3" fontId="2" fillId="0" borderId="32" xfId="0" applyNumberFormat="1" applyFont="1" applyBorder="1" applyAlignment="1" applyProtection="1">
      <alignment horizontal="center" vertical="center"/>
      <protection hidden="1"/>
    </xf>
    <xf numFmtId="3" fontId="2" fillId="0" borderId="33" xfId="0" applyNumberFormat="1" applyFont="1" applyBorder="1" applyAlignment="1" applyProtection="1">
      <alignment horizontal="center" vertical="center"/>
      <protection hidden="1"/>
    </xf>
    <xf numFmtId="3" fontId="5" fillId="7" borderId="18" xfId="0" quotePrefix="1" applyNumberFormat="1" applyFont="1" applyFill="1" applyBorder="1" applyAlignment="1" applyProtection="1">
      <alignment horizontal="center" vertical="center"/>
      <protection locked="0"/>
    </xf>
    <xf numFmtId="3" fontId="5" fillId="7" borderId="18" xfId="0" applyNumberFormat="1" applyFont="1" applyFill="1" applyBorder="1" applyAlignment="1" applyProtection="1">
      <alignment horizontal="center" vertical="center"/>
      <protection locked="0"/>
    </xf>
    <xf numFmtId="3" fontId="5" fillId="7" borderId="35" xfId="0" applyNumberFormat="1" applyFont="1" applyFill="1" applyBorder="1" applyAlignment="1" applyProtection="1">
      <alignment horizontal="center" vertical="center"/>
      <protection locked="0"/>
    </xf>
    <xf numFmtId="4" fontId="5" fillId="7" borderId="18" xfId="0" applyNumberFormat="1" applyFont="1" applyFill="1" applyBorder="1" applyAlignment="1" applyProtection="1">
      <alignment horizontal="center" vertical="center"/>
      <protection locked="0"/>
    </xf>
    <xf numFmtId="4" fontId="5" fillId="7" borderId="35" xfId="0" applyNumberFormat="1" applyFont="1" applyFill="1" applyBorder="1" applyAlignment="1" applyProtection="1">
      <alignment horizontal="center" vertical="center"/>
      <protection locked="0"/>
    </xf>
    <xf numFmtId="164" fontId="5" fillId="7" borderId="18" xfId="0" applyNumberFormat="1" applyFont="1" applyFill="1" applyBorder="1" applyAlignment="1" applyProtection="1">
      <alignment horizontal="center" vertical="center"/>
      <protection locked="0"/>
    </xf>
    <xf numFmtId="164" fontId="5" fillId="7" borderId="35" xfId="0" applyNumberFormat="1" applyFont="1" applyFill="1" applyBorder="1" applyAlignment="1" applyProtection="1">
      <alignment horizontal="center" vertical="center"/>
      <protection locked="0"/>
    </xf>
    <xf numFmtId="3" fontId="5" fillId="0" borderId="38" xfId="0" applyNumberFormat="1" applyFont="1" applyBorder="1" applyAlignment="1" applyProtection="1">
      <alignment horizontal="center" vertical="center"/>
      <protection hidden="1"/>
    </xf>
    <xf numFmtId="3" fontId="5" fillId="0" borderId="55" xfId="0" applyNumberFormat="1" applyFont="1" applyBorder="1" applyAlignment="1" applyProtection="1">
      <alignment horizontal="center" vertical="center"/>
      <protection hidden="1"/>
    </xf>
    <xf numFmtId="3" fontId="2" fillId="0" borderId="63" xfId="0" applyNumberFormat="1" applyFont="1" applyBorder="1" applyAlignment="1" applyProtection="1">
      <alignment horizontal="center"/>
      <protection hidden="1"/>
    </xf>
    <xf numFmtId="3" fontId="2" fillId="0" borderId="50" xfId="0" applyNumberFormat="1" applyFont="1" applyBorder="1" applyAlignment="1" applyProtection="1">
      <alignment horizontal="center"/>
      <protection hidden="1"/>
    </xf>
    <xf numFmtId="3" fontId="2" fillId="0" borderId="18" xfId="0" applyNumberFormat="1" applyFont="1" applyBorder="1" applyAlignment="1" applyProtection="1">
      <alignment horizontal="center"/>
      <protection hidden="1"/>
    </xf>
    <xf numFmtId="3" fontId="2" fillId="0" borderId="35" xfId="0" applyNumberFormat="1" applyFont="1" applyBorder="1" applyAlignment="1" applyProtection="1">
      <alignment horizontal="center"/>
      <protection hidden="1"/>
    </xf>
    <xf numFmtId="164" fontId="2" fillId="0" borderId="18" xfId="2" applyNumberFormat="1" applyFont="1" applyBorder="1" applyAlignment="1" applyProtection="1">
      <alignment horizontal="center"/>
      <protection hidden="1"/>
    </xf>
    <xf numFmtId="164" fontId="2" fillId="0" borderId="35" xfId="2" applyNumberFormat="1" applyFont="1" applyBorder="1" applyAlignment="1" applyProtection="1">
      <alignment horizontal="center"/>
      <protection hidden="1"/>
    </xf>
    <xf numFmtId="3" fontId="2" fillId="0" borderId="62" xfId="0" applyNumberFormat="1" applyFont="1" applyBorder="1" applyAlignment="1" applyProtection="1">
      <alignment horizontal="center"/>
      <protection hidden="1"/>
    </xf>
    <xf numFmtId="3" fontId="2" fillId="0" borderId="65" xfId="0" applyNumberFormat="1" applyFont="1" applyBorder="1" applyAlignment="1" applyProtection="1">
      <alignment horizontal="center"/>
      <protection hidden="1"/>
    </xf>
    <xf numFmtId="0" fontId="0" fillId="0" borderId="60" xfId="0" applyBorder="1" applyAlignment="1">
      <alignment horizontal="center"/>
    </xf>
    <xf numFmtId="0" fontId="0" fillId="0" borderId="61" xfId="0" applyBorder="1" applyAlignment="1">
      <alignment horizontal="center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4" fillId="0" borderId="151" xfId="0" applyNumberFormat="1" applyFont="1" applyBorder="1" applyAlignment="1" applyProtection="1">
      <alignment horizontal="center" vertical="center"/>
      <protection hidden="1"/>
    </xf>
    <xf numFmtId="3" fontId="4" fillId="0" borderId="183" xfId="0" applyNumberFormat="1" applyFont="1" applyBorder="1" applyAlignment="1" applyProtection="1">
      <alignment horizontal="center" vertical="center"/>
      <protection hidden="1"/>
    </xf>
    <xf numFmtId="3" fontId="10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9" fillId="0" borderId="159" xfId="0" applyNumberFormat="1" applyFont="1" applyBorder="1" applyAlignment="1" applyProtection="1">
      <alignment horizontal="center" vertical="center"/>
      <protection hidden="1"/>
    </xf>
    <xf numFmtId="4" fontId="10" fillId="0" borderId="18" xfId="0" applyNumberFormat="1" applyFont="1" applyBorder="1" applyAlignment="1" applyProtection="1">
      <alignment horizontal="center" vertical="center"/>
      <protection hidden="1"/>
    </xf>
    <xf numFmtId="4" fontId="10" fillId="0" borderId="35" xfId="0" applyNumberFormat="1" applyFont="1" applyBorder="1" applyAlignment="1" applyProtection="1">
      <alignment horizontal="center" vertical="center"/>
      <protection hidden="1"/>
    </xf>
    <xf numFmtId="3" fontId="10" fillId="0" borderId="18" xfId="0" applyNumberFormat="1" applyFont="1" applyBorder="1" applyAlignment="1" applyProtection="1">
      <alignment horizontal="center"/>
      <protection hidden="1"/>
    </xf>
    <xf numFmtId="3" fontId="10" fillId="7" borderId="153" xfId="0" applyNumberFormat="1" applyFont="1" applyFill="1" applyBorder="1" applyAlignment="1" applyProtection="1">
      <alignment horizontal="center" vertical="center"/>
      <protection locked="0"/>
    </xf>
    <xf numFmtId="3" fontId="43" fillId="0" borderId="18" xfId="0" applyNumberFormat="1" applyFont="1" applyBorder="1" applyAlignment="1" applyProtection="1">
      <alignment horizontal="center" vertical="center"/>
      <protection hidden="1"/>
    </xf>
    <xf numFmtId="166" fontId="10" fillId="0" borderId="18" xfId="0" applyNumberFormat="1" applyFont="1" applyBorder="1" applyAlignment="1">
      <alignment horizontal="center" vertical="center"/>
    </xf>
    <xf numFmtId="3" fontId="4" fillId="0" borderId="194" xfId="0" applyNumberFormat="1" applyFont="1" applyBorder="1" applyAlignment="1" applyProtection="1">
      <alignment horizontal="center" vertical="center"/>
      <protection hidden="1"/>
    </xf>
    <xf numFmtId="3" fontId="4" fillId="0" borderId="195" xfId="0" applyNumberFormat="1" applyFont="1" applyBorder="1" applyAlignment="1" applyProtection="1">
      <alignment horizontal="center" vertical="center"/>
      <protection hidden="1"/>
    </xf>
    <xf numFmtId="3" fontId="9" fillId="0" borderId="32" xfId="0" applyNumberFormat="1" applyFont="1" applyBorder="1" applyAlignment="1" applyProtection="1">
      <alignment horizontal="center" vertical="center"/>
      <protection hidden="1"/>
    </xf>
    <xf numFmtId="3" fontId="9" fillId="0" borderId="24" xfId="0" applyNumberFormat="1" applyFont="1" applyBorder="1" applyAlignment="1" applyProtection="1">
      <alignment horizontal="center" vertical="center"/>
      <protection hidden="1"/>
    </xf>
    <xf numFmtId="3" fontId="9" fillId="0" borderId="157" xfId="0" applyNumberFormat="1" applyFont="1" applyBorder="1" applyAlignment="1" applyProtection="1">
      <alignment horizontal="center" vertical="center"/>
      <protection hidden="1"/>
    </xf>
    <xf numFmtId="3" fontId="10" fillId="7" borderId="21" xfId="0" applyNumberFormat="1" applyFont="1" applyFill="1" applyBorder="1" applyAlignment="1" applyProtection="1">
      <alignment horizontal="center" vertical="center"/>
      <protection locked="0"/>
    </xf>
    <xf numFmtId="3" fontId="9" fillId="0" borderId="26" xfId="0" applyNumberFormat="1" applyFont="1" applyBorder="1" applyAlignment="1" applyProtection="1">
      <alignment horizontal="center" vertical="center"/>
      <protection hidden="1"/>
    </xf>
    <xf numFmtId="3" fontId="9" fillId="0" borderId="169" xfId="0" applyNumberFormat="1" applyFont="1" applyBorder="1" applyAlignment="1" applyProtection="1">
      <alignment horizontal="center" vertical="center"/>
      <protection hidden="1"/>
    </xf>
    <xf numFmtId="3" fontId="9" fillId="0" borderId="60" xfId="0" applyNumberFormat="1" applyFont="1" applyBorder="1" applyAlignment="1" applyProtection="1">
      <alignment horizontal="center" vertical="center"/>
      <protection locked="0" hidden="1"/>
    </xf>
    <xf numFmtId="3" fontId="9" fillId="0" borderId="170" xfId="0" applyNumberFormat="1" applyFont="1" applyBorder="1" applyAlignment="1" applyProtection="1">
      <alignment horizontal="center" vertical="center"/>
      <protection locked="0" hidden="1"/>
    </xf>
    <xf numFmtId="3" fontId="10" fillId="0" borderId="154" xfId="0" applyNumberFormat="1" applyFont="1" applyBorder="1" applyAlignment="1">
      <alignment horizontal="center" vertical="center"/>
    </xf>
    <xf numFmtId="3" fontId="10" fillId="7" borderId="154" xfId="0" applyNumberFormat="1" applyFont="1" applyFill="1" applyBorder="1" applyAlignment="1" applyProtection="1">
      <alignment horizontal="center" vertical="center"/>
      <protection locked="0" hidden="1"/>
    </xf>
    <xf numFmtId="3" fontId="10" fillId="7" borderId="156" xfId="0" applyNumberFormat="1" applyFont="1" applyFill="1" applyBorder="1" applyAlignment="1" applyProtection="1">
      <alignment horizontal="center" vertical="center"/>
      <protection locked="0" hidden="1"/>
    </xf>
    <xf numFmtId="3" fontId="9" fillId="0" borderId="0" xfId="0" applyNumberFormat="1" applyFont="1" applyAlignment="1" applyProtection="1">
      <alignment horizontal="center" vertical="center"/>
      <protection hidden="1"/>
    </xf>
    <xf numFmtId="3" fontId="4" fillId="0" borderId="152" xfId="0" applyNumberFormat="1" applyFont="1" applyBorder="1" applyAlignment="1" applyProtection="1">
      <alignment horizontal="center" vertical="center"/>
      <protection hidden="1"/>
    </xf>
    <xf numFmtId="3" fontId="10" fillId="9" borderId="32" xfId="0" applyNumberFormat="1" applyFont="1" applyFill="1" applyBorder="1" applyAlignment="1" applyProtection="1">
      <alignment horizontal="center" vertical="center"/>
      <protection hidden="1"/>
    </xf>
    <xf numFmtId="3" fontId="10" fillId="0" borderId="32" xfId="0" applyNumberFormat="1" applyFont="1" applyBorder="1" applyAlignment="1">
      <alignment horizontal="center" vertical="center"/>
    </xf>
    <xf numFmtId="3" fontId="4" fillId="0" borderId="18" xfId="0" applyNumberFormat="1" applyFont="1" applyBorder="1" applyAlignment="1" applyProtection="1">
      <alignment horizontal="center" vertical="center"/>
      <protection hidden="1"/>
    </xf>
    <xf numFmtId="3" fontId="4" fillId="0" borderId="21" xfId="0" applyNumberFormat="1" applyFont="1" applyBorder="1" applyAlignment="1" applyProtection="1">
      <alignment horizontal="center" vertical="center"/>
      <protection hidden="1"/>
    </xf>
    <xf numFmtId="3" fontId="4" fillId="0" borderId="153" xfId="0" applyNumberFormat="1" applyFont="1" applyBorder="1" applyAlignment="1" applyProtection="1">
      <alignment horizontal="center" vertical="center"/>
      <protection hidden="1"/>
    </xf>
    <xf numFmtId="164" fontId="13" fillId="7" borderId="18" xfId="2" applyNumberFormat="1" applyFont="1" applyFill="1" applyBorder="1" applyAlignment="1" applyProtection="1">
      <alignment horizontal="center" vertical="center"/>
      <protection locked="0"/>
    </xf>
    <xf numFmtId="164" fontId="13" fillId="7" borderId="21" xfId="2" applyNumberFormat="1" applyFont="1" applyFill="1" applyBorder="1" applyAlignment="1" applyProtection="1">
      <alignment horizontal="center" vertical="center"/>
      <protection locked="0"/>
    </xf>
    <xf numFmtId="164" fontId="13" fillId="7" borderId="153" xfId="2" applyNumberFormat="1" applyFont="1" applyFill="1" applyBorder="1" applyAlignment="1" applyProtection="1">
      <alignment horizontal="center" vertical="center"/>
      <protection locked="0"/>
    </xf>
    <xf numFmtId="3" fontId="4" fillId="7" borderId="18" xfId="0" applyNumberFormat="1" applyFont="1" applyFill="1" applyBorder="1" applyAlignment="1" applyProtection="1">
      <alignment horizontal="center" vertical="center"/>
      <protection locked="0"/>
    </xf>
    <xf numFmtId="3" fontId="4" fillId="7" borderId="21" xfId="0" applyNumberFormat="1" applyFont="1" applyFill="1" applyBorder="1" applyAlignment="1" applyProtection="1">
      <alignment horizontal="center" vertical="center"/>
      <protection locked="0"/>
    </xf>
    <xf numFmtId="3" fontId="4" fillId="7" borderId="153" xfId="0" applyNumberFormat="1" applyFont="1" applyFill="1" applyBorder="1" applyAlignment="1" applyProtection="1">
      <alignment horizontal="center" vertical="center"/>
      <protection locked="0"/>
    </xf>
    <xf numFmtId="3" fontId="0" fillId="0" borderId="153" xfId="0" applyNumberFormat="1" applyBorder="1" applyAlignment="1">
      <alignment horizontal="center"/>
    </xf>
    <xf numFmtId="3" fontId="10" fillId="0" borderId="153" xfId="0" applyNumberFormat="1" applyFont="1" applyBorder="1" applyAlignment="1" applyProtection="1">
      <alignment horizontal="center"/>
      <protection hidden="1"/>
    </xf>
    <xf numFmtId="164" fontId="49" fillId="7" borderId="18" xfId="0" applyNumberFormat="1" applyFont="1" applyFill="1" applyBorder="1" applyAlignment="1" applyProtection="1">
      <alignment horizontal="center" vertical="center"/>
      <protection locked="0"/>
    </xf>
    <xf numFmtId="164" fontId="49" fillId="7" borderId="153" xfId="0" applyNumberFormat="1" applyFont="1" applyFill="1" applyBorder="1" applyAlignment="1" applyProtection="1">
      <alignment horizontal="center" vertical="center"/>
      <protection locked="0"/>
    </xf>
    <xf numFmtId="3" fontId="10" fillId="7" borderId="157" xfId="0" applyNumberFormat="1" applyFont="1" applyFill="1" applyBorder="1" applyAlignment="1" applyProtection="1">
      <alignment horizontal="center" vertical="center"/>
      <protection locked="0"/>
    </xf>
    <xf numFmtId="3" fontId="10" fillId="8" borderId="32" xfId="0" applyNumberFormat="1" applyFont="1" applyFill="1" applyBorder="1" applyAlignment="1" applyProtection="1">
      <alignment horizontal="center" vertical="center"/>
      <protection hidden="1"/>
    </xf>
    <xf numFmtId="3" fontId="10" fillId="8" borderId="153" xfId="0" applyNumberFormat="1" applyFont="1" applyFill="1" applyBorder="1" applyAlignment="1" applyProtection="1">
      <alignment horizontal="center" vertical="center"/>
      <protection hidden="1"/>
    </xf>
    <xf numFmtId="164" fontId="43" fillId="0" borderId="32" xfId="0" applyNumberFormat="1" applyFont="1" applyBorder="1" applyAlignment="1" applyProtection="1">
      <alignment horizontal="center" vertical="center"/>
      <protection hidden="1"/>
    </xf>
    <xf numFmtId="167" fontId="43" fillId="0" borderId="116" xfId="0" applyNumberFormat="1" applyFont="1" applyBorder="1" applyAlignment="1" applyProtection="1">
      <alignment horizontal="center" vertical="center"/>
      <protection hidden="1"/>
    </xf>
    <xf numFmtId="167" fontId="43" fillId="0" borderId="115" xfId="0" applyNumberFormat="1" applyFont="1" applyBorder="1" applyAlignment="1" applyProtection="1">
      <alignment horizontal="center" vertical="center"/>
      <protection hidden="1"/>
    </xf>
    <xf numFmtId="3" fontId="4" fillId="0" borderId="189" xfId="0" applyNumberFormat="1" applyFont="1" applyBorder="1" applyAlignment="1" applyProtection="1">
      <alignment horizontal="center" vertical="center"/>
      <protection hidden="1"/>
    </xf>
    <xf numFmtId="3" fontId="4" fillId="0" borderId="190" xfId="0" applyNumberFormat="1" applyFont="1" applyBorder="1" applyAlignment="1" applyProtection="1">
      <alignment horizontal="center" vertical="center"/>
      <protection hidden="1"/>
    </xf>
    <xf numFmtId="3" fontId="4" fillId="0" borderId="191" xfId="0" applyNumberFormat="1" applyFont="1" applyBorder="1" applyAlignment="1" applyProtection="1">
      <alignment horizontal="center" vertical="center"/>
      <protection hidden="1"/>
    </xf>
    <xf numFmtId="10" fontId="49" fillId="7" borderId="18" xfId="0" applyNumberFormat="1" applyFont="1" applyFill="1" applyBorder="1" applyAlignment="1" applyProtection="1">
      <alignment horizontal="center" vertical="center"/>
      <protection locked="0"/>
    </xf>
    <xf numFmtId="10" fontId="49" fillId="7" borderId="153" xfId="0" applyNumberFormat="1" applyFont="1" applyFill="1" applyBorder="1" applyAlignment="1" applyProtection="1">
      <alignment horizontal="center" vertical="center"/>
      <protection locked="0"/>
    </xf>
    <xf numFmtId="0" fontId="5" fillId="8" borderId="0" xfId="0" applyFont="1" applyFill="1" applyAlignment="1">
      <alignment horizontal="left" vertical="center"/>
    </xf>
    <xf numFmtId="0" fontId="9" fillId="0" borderId="116" xfId="0" applyFont="1" applyBorder="1" applyAlignment="1" applyProtection="1">
      <alignment horizontal="right" vertical="center"/>
      <protection hidden="1"/>
    </xf>
    <xf numFmtId="0" fontId="44" fillId="0" borderId="18" xfId="0" applyFont="1" applyBorder="1" applyAlignment="1" applyProtection="1">
      <alignment horizontal="center" vertical="center"/>
      <protection hidden="1"/>
    </xf>
    <xf numFmtId="0" fontId="44" fillId="0" borderId="35" xfId="0" applyFont="1" applyBorder="1" applyAlignment="1" applyProtection="1">
      <alignment horizontal="center" vertical="center"/>
      <protection hidden="1"/>
    </xf>
    <xf numFmtId="3" fontId="10" fillId="0" borderId="18" xfId="0" applyNumberFormat="1" applyFont="1" applyBorder="1" applyAlignment="1" applyProtection="1">
      <alignment horizontal="center" vertical="center"/>
      <protection locked="0"/>
    </xf>
    <xf numFmtId="0" fontId="0" fillId="0" borderId="31" xfId="0" applyBorder="1" applyAlignment="1" applyProtection="1">
      <alignment vertical="center"/>
      <protection hidden="1"/>
    </xf>
    <xf numFmtId="0" fontId="0" fillId="0" borderId="60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0" fontId="0" fillId="0" borderId="61" xfId="0" applyBorder="1" applyAlignment="1" applyProtection="1">
      <alignment horizontal="center" vertical="center"/>
      <protection hidden="1"/>
    </xf>
    <xf numFmtId="0" fontId="4" fillId="0" borderId="112" xfId="0" applyFont="1" applyBorder="1" applyAlignment="1">
      <alignment horizontal="center" vertical="center"/>
    </xf>
    <xf numFmtId="3" fontId="10" fillId="6" borderId="43" xfId="0" applyNumberFormat="1" applyFont="1" applyFill="1" applyBorder="1" applyAlignment="1" applyProtection="1">
      <alignment vertical="center"/>
      <protection hidden="1"/>
    </xf>
    <xf numFmtId="3" fontId="9" fillId="0" borderId="6" xfId="0" applyNumberFormat="1" applyFont="1" applyBorder="1" applyAlignment="1" applyProtection="1">
      <alignment horizontal="center" vertical="center"/>
      <protection hidden="1"/>
    </xf>
    <xf numFmtId="0" fontId="9" fillId="0" borderId="224" xfId="0" quotePrefix="1" applyFont="1" applyBorder="1" applyAlignment="1">
      <alignment horizontal="right" vertical="center"/>
    </xf>
    <xf numFmtId="164" fontId="10" fillId="0" borderId="0" xfId="2" applyNumberFormat="1" applyFont="1" applyBorder="1" applyAlignment="1" applyProtection="1">
      <alignment horizontal="center" vertical="center"/>
      <protection hidden="1"/>
    </xf>
    <xf numFmtId="3" fontId="10" fillId="6" borderId="79" xfId="0" applyNumberFormat="1" applyFont="1" applyFill="1" applyBorder="1" applyAlignment="1">
      <alignment vertical="center"/>
    </xf>
    <xf numFmtId="3" fontId="10" fillId="6" borderId="66" xfId="0" applyNumberFormat="1" applyFont="1" applyFill="1" applyBorder="1" applyAlignment="1">
      <alignment vertical="center"/>
    </xf>
    <xf numFmtId="166" fontId="10" fillId="6" borderId="67" xfId="0" applyNumberFormat="1" applyFont="1" applyFill="1" applyBorder="1" applyAlignment="1">
      <alignment horizontal="center" vertical="center"/>
    </xf>
    <xf numFmtId="3" fontId="10" fillId="6" borderId="12" xfId="0" applyNumberFormat="1" applyFont="1" applyFill="1" applyBorder="1" applyAlignment="1">
      <alignment vertical="center"/>
    </xf>
    <xf numFmtId="3" fontId="58" fillId="6" borderId="12" xfId="0" applyNumberFormat="1" applyFont="1" applyFill="1" applyBorder="1" applyAlignment="1">
      <alignment vertical="center"/>
    </xf>
    <xf numFmtId="166" fontId="58" fillId="6" borderId="67" xfId="0" applyNumberFormat="1" applyFont="1" applyFill="1" applyBorder="1" applyAlignment="1">
      <alignment horizontal="center" vertical="center"/>
    </xf>
    <xf numFmtId="3" fontId="10" fillId="0" borderId="21" xfId="0" applyNumberFormat="1" applyFont="1" applyBorder="1" applyAlignment="1">
      <alignment horizontal="center" vertical="center"/>
    </xf>
    <xf numFmtId="3" fontId="10" fillId="0" borderId="153" xfId="0" applyNumberFormat="1" applyFont="1" applyBorder="1" applyAlignment="1">
      <alignment horizontal="center" vertical="center"/>
    </xf>
    <xf numFmtId="49" fontId="9" fillId="7" borderId="24" xfId="0" applyNumberFormat="1" applyFont="1" applyFill="1" applyBorder="1" applyAlignment="1" applyProtection="1">
      <alignment horizontal="left" vertical="center"/>
      <protection locked="0"/>
    </xf>
    <xf numFmtId="0" fontId="10" fillId="0" borderId="21" xfId="0" applyFont="1" applyBorder="1" applyAlignment="1" applyProtection="1">
      <alignment vertical="center"/>
      <protection hidden="1"/>
    </xf>
    <xf numFmtId="9" fontId="10" fillId="0" borderId="26" xfId="0" applyNumberFormat="1" applyFont="1" applyBorder="1" applyAlignment="1">
      <alignment horizontal="left" vertical="center"/>
    </xf>
    <xf numFmtId="0" fontId="10" fillId="0" borderId="26" xfId="0" applyFont="1" applyBorder="1" applyAlignment="1">
      <alignment horizontal="left" vertical="center"/>
    </xf>
    <xf numFmtId="0" fontId="10" fillId="0" borderId="26" xfId="0" applyFont="1" applyBorder="1" applyAlignment="1">
      <alignment horizontal="center" vertical="center"/>
    </xf>
    <xf numFmtId="0" fontId="15" fillId="0" borderId="0" xfId="0" applyFont="1" applyProtection="1">
      <protection locked="0"/>
    </xf>
    <xf numFmtId="0" fontId="35" fillId="0" borderId="0" xfId="0" applyFont="1" applyAlignment="1" applyProtection="1">
      <alignment vertical="center"/>
      <protection locked="0"/>
    </xf>
    <xf numFmtId="0" fontId="0" fillId="2" borderId="17" xfId="0" applyFill="1" applyBorder="1"/>
    <xf numFmtId="0" fontId="10" fillId="0" borderId="19" xfId="0" applyFont="1" applyBorder="1" applyAlignment="1" applyProtection="1">
      <alignment vertical="center"/>
      <protection locked="0"/>
    </xf>
    <xf numFmtId="0" fontId="10" fillId="0" borderId="8" xfId="0" applyFont="1" applyBorder="1" applyAlignment="1" applyProtection="1">
      <alignment vertical="center"/>
      <protection locked="0"/>
    </xf>
    <xf numFmtId="0" fontId="10" fillId="0" borderId="208" xfId="0" applyFont="1" applyBorder="1" applyAlignment="1" applyProtection="1">
      <alignment vertical="center"/>
      <protection locked="0"/>
    </xf>
    <xf numFmtId="3" fontId="9" fillId="6" borderId="18" xfId="0" applyNumberFormat="1" applyFont="1" applyFill="1" applyBorder="1" applyAlignment="1" applyProtection="1">
      <alignment horizontal="center" vertical="center"/>
      <protection hidden="1"/>
    </xf>
    <xf numFmtId="3" fontId="9" fillId="0" borderId="11" xfId="0" applyNumberFormat="1" applyFont="1" applyBorder="1" applyAlignment="1" applyProtection="1">
      <alignment horizontal="center" vertical="center"/>
      <protection hidden="1"/>
    </xf>
    <xf numFmtId="3" fontId="40" fillId="6" borderId="18" xfId="0" applyNumberFormat="1" applyFont="1" applyFill="1" applyBorder="1" applyAlignment="1" applyProtection="1">
      <alignment horizontal="center" vertical="center"/>
      <protection hidden="1"/>
    </xf>
    <xf numFmtId="3" fontId="9" fillId="0" borderId="8" xfId="0" applyNumberFormat="1" applyFont="1" applyBorder="1" applyAlignment="1" applyProtection="1">
      <alignment horizontal="center" vertical="center"/>
      <protection hidden="1"/>
    </xf>
    <xf numFmtId="3" fontId="4" fillId="0" borderId="17" xfId="0" applyNumberFormat="1" applyFont="1" applyBorder="1" applyAlignment="1" applyProtection="1">
      <alignment horizontal="center" vertical="center"/>
      <protection hidden="1"/>
    </xf>
    <xf numFmtId="3" fontId="38" fillId="6" borderId="50" xfId="0" applyNumberFormat="1" applyFont="1" applyFill="1" applyBorder="1" applyAlignment="1" applyProtection="1">
      <alignment horizontal="center" vertical="center"/>
      <protection hidden="1"/>
    </xf>
    <xf numFmtId="3" fontId="38" fillId="6" borderId="61" xfId="0" applyNumberFormat="1" applyFont="1" applyFill="1" applyBorder="1" applyAlignment="1" applyProtection="1">
      <alignment horizontal="center" vertical="center"/>
      <protection hidden="1"/>
    </xf>
    <xf numFmtId="3" fontId="38" fillId="6" borderId="35" xfId="0" applyNumberFormat="1" applyFont="1" applyFill="1" applyBorder="1" applyAlignment="1" applyProtection="1">
      <alignment horizontal="center" vertical="center"/>
      <protection hidden="1"/>
    </xf>
    <xf numFmtId="164" fontId="38" fillId="6" borderId="35" xfId="2" applyNumberFormat="1" applyFont="1" applyFill="1" applyBorder="1" applyAlignment="1" applyProtection="1">
      <alignment horizontal="center" vertical="center"/>
      <protection hidden="1"/>
    </xf>
    <xf numFmtId="3" fontId="1" fillId="0" borderId="8" xfId="0" applyNumberFormat="1" applyFont="1" applyBorder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3" fontId="1" fillId="0" borderId="17" xfId="0" applyNumberFormat="1" applyFont="1" applyBorder="1" applyAlignment="1">
      <alignment horizontal="center" vertical="center"/>
    </xf>
    <xf numFmtId="3" fontId="38" fillId="6" borderId="89" xfId="0" applyNumberFormat="1" applyFont="1" applyFill="1" applyBorder="1" applyAlignment="1" applyProtection="1">
      <alignment horizontal="center" vertical="center"/>
      <protection hidden="1"/>
    </xf>
    <xf numFmtId="3" fontId="9" fillId="8" borderId="227" xfId="0" applyNumberFormat="1" applyFont="1" applyFill="1" applyBorder="1" applyAlignment="1" applyProtection="1">
      <alignment horizontal="center" vertical="center"/>
      <protection hidden="1"/>
    </xf>
    <xf numFmtId="3" fontId="38" fillId="6" borderId="33" xfId="0" applyNumberFormat="1" applyFont="1" applyFill="1" applyBorder="1" applyAlignment="1" applyProtection="1">
      <alignment horizontal="center" vertical="center"/>
      <protection hidden="1"/>
    </xf>
    <xf numFmtId="3" fontId="10" fillId="8" borderId="226" xfId="0" applyNumberFormat="1" applyFont="1" applyFill="1" applyBorder="1" applyAlignment="1" applyProtection="1">
      <alignment horizontal="center" vertical="center"/>
      <protection hidden="1"/>
    </xf>
    <xf numFmtId="0" fontId="38" fillId="0" borderId="36" xfId="0" applyFont="1" applyBorder="1" applyAlignment="1">
      <alignment horizontal="center" vertical="center"/>
    </xf>
    <xf numFmtId="0" fontId="38" fillId="0" borderId="66" xfId="0" applyFont="1" applyBorder="1" applyAlignment="1">
      <alignment horizontal="center" vertical="center"/>
    </xf>
    <xf numFmtId="0" fontId="38" fillId="0" borderId="228" xfId="0" applyFont="1" applyBorder="1" applyAlignment="1">
      <alignment horizontal="center" vertical="center"/>
    </xf>
    <xf numFmtId="0" fontId="38" fillId="0" borderId="47" xfId="0" applyFont="1" applyBorder="1" applyAlignment="1">
      <alignment horizontal="center" vertical="center"/>
    </xf>
    <xf numFmtId="0" fontId="10" fillId="0" borderId="199" xfId="0" applyFont="1" applyBorder="1" applyAlignment="1" applyProtection="1">
      <alignment horizontal="center" vertical="center"/>
      <protection hidden="1"/>
    </xf>
    <xf numFmtId="0" fontId="38" fillId="0" borderId="229" xfId="0" applyFont="1" applyBorder="1" applyAlignment="1">
      <alignment horizontal="center" vertical="center"/>
    </xf>
    <xf numFmtId="0" fontId="9" fillId="0" borderId="199" xfId="0" applyFont="1" applyBorder="1" applyAlignment="1" applyProtection="1">
      <alignment horizontal="center" vertical="center"/>
      <protection hidden="1"/>
    </xf>
    <xf numFmtId="0" fontId="1" fillId="6" borderId="52" xfId="0" applyFont="1" applyFill="1" applyBorder="1" applyAlignment="1" applyProtection="1">
      <alignment horizontal="center" vertical="center"/>
      <protection hidden="1"/>
    </xf>
    <xf numFmtId="0" fontId="1" fillId="6" borderId="22" xfId="0" applyFont="1" applyFill="1" applyBorder="1" applyAlignment="1" applyProtection="1">
      <alignment horizontal="center" vertical="center"/>
      <protection hidden="1"/>
    </xf>
    <xf numFmtId="3" fontId="1" fillId="6" borderId="35" xfId="0" applyNumberFormat="1" applyFont="1" applyFill="1" applyBorder="1" applyAlignment="1" applyProtection="1">
      <alignment horizontal="center" vertical="center"/>
      <protection hidden="1"/>
    </xf>
    <xf numFmtId="3" fontId="1" fillId="8" borderId="227" xfId="0" applyNumberFormat="1" applyFont="1" applyFill="1" applyBorder="1" applyAlignment="1" applyProtection="1">
      <alignment horizontal="center" vertical="center"/>
      <protection hidden="1"/>
    </xf>
    <xf numFmtId="164" fontId="5" fillId="7" borderId="36" xfId="0" applyNumberFormat="1" applyFont="1" applyFill="1" applyBorder="1" applyAlignment="1" applyProtection="1">
      <alignment horizontal="center" vertical="center"/>
      <protection locked="0"/>
    </xf>
    <xf numFmtId="0" fontId="48" fillId="0" borderId="19" xfId="0" applyFont="1" applyBorder="1" applyAlignment="1" applyProtection="1">
      <alignment vertical="center"/>
      <protection locked="0"/>
    </xf>
    <xf numFmtId="0" fontId="65" fillId="0" borderId="0" xfId="0" applyFont="1" applyProtection="1">
      <protection hidden="1"/>
    </xf>
    <xf numFmtId="165" fontId="0" fillId="0" borderId="43" xfId="0" applyNumberFormat="1" applyBorder="1" applyAlignment="1">
      <alignment horizontal="center" vertical="center"/>
    </xf>
    <xf numFmtId="165" fontId="1" fillId="0" borderId="11" xfId="0" applyNumberFormat="1" applyFont="1" applyBorder="1" applyAlignment="1">
      <alignment horizontal="center" vertical="center"/>
    </xf>
    <xf numFmtId="171" fontId="0" fillId="0" borderId="43" xfId="0" applyNumberFormat="1" applyBorder="1" applyAlignment="1">
      <alignment horizontal="center" vertical="center"/>
    </xf>
    <xf numFmtId="171" fontId="1" fillId="0" borderId="11" xfId="0" applyNumberFormat="1" applyFont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0" fillId="0" borderId="0" xfId="0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1" fillId="0" borderId="34" xfId="0" applyFont="1" applyBorder="1" applyAlignment="1" applyProtection="1">
      <alignment horizontal="left" vertical="center"/>
      <protection hidden="1"/>
    </xf>
    <xf numFmtId="0" fontId="1" fillId="0" borderId="113" xfId="0" applyFont="1" applyBorder="1" applyAlignment="1" applyProtection="1">
      <alignment horizontal="left" vertical="center"/>
      <protection hidden="1"/>
    </xf>
    <xf numFmtId="0" fontId="1" fillId="0" borderId="161" xfId="0" applyFont="1" applyBorder="1" applyAlignment="1" applyProtection="1">
      <alignment horizontal="left"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1" fillId="0" borderId="0" xfId="0" applyFont="1" applyProtection="1"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0" fillId="0" borderId="230" xfId="0" applyBorder="1" applyAlignment="1" applyProtection="1">
      <alignment horizontal="center" vertical="center"/>
      <protection hidden="1"/>
    </xf>
    <xf numFmtId="3" fontId="10" fillId="0" borderId="230" xfId="0" applyNumberFormat="1" applyFont="1" applyBorder="1" applyAlignment="1" applyProtection="1">
      <alignment horizontal="center" vertical="center"/>
      <protection hidden="1"/>
    </xf>
    <xf numFmtId="0" fontId="10" fillId="0" borderId="21" xfId="0" applyFont="1" applyBorder="1" applyAlignment="1" applyProtection="1">
      <alignment horizontal="center" vertical="center"/>
      <protection hidden="1"/>
    </xf>
    <xf numFmtId="164" fontId="10" fillId="0" borderId="21" xfId="2" applyNumberFormat="1" applyFont="1" applyBorder="1" applyAlignment="1" applyProtection="1">
      <alignment horizontal="center" vertical="center"/>
      <protection hidden="1"/>
    </xf>
    <xf numFmtId="0" fontId="44" fillId="0" borderId="21" xfId="0" applyFont="1" applyBorder="1" applyAlignment="1" applyProtection="1">
      <alignment horizontal="center" vertical="center"/>
      <protection hidden="1"/>
    </xf>
    <xf numFmtId="4" fontId="10" fillId="0" borderId="21" xfId="0" applyNumberFormat="1" applyFont="1" applyBorder="1" applyAlignment="1" applyProtection="1">
      <alignment horizontal="center" vertical="center"/>
      <protection hidden="1"/>
    </xf>
    <xf numFmtId="3" fontId="10" fillId="0" borderId="19" xfId="0" applyNumberFormat="1" applyFont="1" applyBorder="1" applyAlignment="1" applyProtection="1">
      <alignment horizontal="center" vertical="center"/>
      <protection hidden="1"/>
    </xf>
    <xf numFmtId="0" fontId="10" fillId="0" borderId="35" xfId="0" applyFont="1" applyBorder="1" applyAlignment="1" applyProtection="1">
      <alignment horizontal="center" vertical="center"/>
      <protection hidden="1"/>
    </xf>
    <xf numFmtId="0" fontId="1" fillId="0" borderId="61" xfId="0" applyFont="1" applyBorder="1" applyAlignment="1" applyProtection="1">
      <alignment horizontal="left" vertical="center"/>
      <protection hidden="1"/>
    </xf>
    <xf numFmtId="0" fontId="1" fillId="0" borderId="61" xfId="0" applyFont="1" applyBorder="1" applyAlignment="1" applyProtection="1">
      <alignment horizontal="center" vertical="center"/>
      <protection hidden="1"/>
    </xf>
    <xf numFmtId="9" fontId="10" fillId="0" borderId="18" xfId="2" applyFont="1" applyBorder="1" applyProtection="1">
      <protection hidden="1"/>
    </xf>
    <xf numFmtId="9" fontId="10" fillId="0" borderId="18" xfId="2" applyFont="1" applyBorder="1" applyAlignment="1" applyProtection="1">
      <alignment horizontal="right" vertical="center"/>
      <protection hidden="1"/>
    </xf>
    <xf numFmtId="0" fontId="1" fillId="0" borderId="233" xfId="0" applyFont="1" applyBorder="1" applyAlignment="1" applyProtection="1">
      <alignment horizontal="left" vertical="center"/>
      <protection hidden="1"/>
    </xf>
    <xf numFmtId="3" fontId="10" fillId="0" borderId="0" xfId="0" applyNumberFormat="1" applyFont="1" applyAlignment="1">
      <alignment vertical="center"/>
    </xf>
    <xf numFmtId="164" fontId="10" fillId="0" borderId="0" xfId="2" applyNumberFormat="1" applyFont="1" applyAlignment="1">
      <alignment vertical="center"/>
    </xf>
    <xf numFmtId="0" fontId="35" fillId="0" borderId="0" xfId="0" applyFont="1"/>
    <xf numFmtId="0" fontId="10" fillId="0" borderId="232" xfId="0" applyFont="1" applyBorder="1" applyProtection="1">
      <protection hidden="1"/>
    </xf>
    <xf numFmtId="0" fontId="10" fillId="0" borderId="232" xfId="0" applyFont="1" applyBorder="1"/>
    <xf numFmtId="3" fontId="10" fillId="0" borderId="232" xfId="0" applyNumberFormat="1" applyFont="1" applyBorder="1"/>
    <xf numFmtId="0" fontId="9" fillId="0" borderId="232" xfId="0" applyFont="1" applyBorder="1" applyProtection="1">
      <protection hidden="1"/>
    </xf>
    <xf numFmtId="0" fontId="10" fillId="0" borderId="11" xfId="0" applyFont="1" applyBorder="1" applyProtection="1">
      <protection hidden="1"/>
    </xf>
    <xf numFmtId="3" fontId="10" fillId="0" borderId="11" xfId="0" applyNumberFormat="1" applyFont="1" applyBorder="1" applyProtection="1">
      <protection hidden="1"/>
    </xf>
    <xf numFmtId="3" fontId="9" fillId="0" borderId="232" xfId="0" applyNumberFormat="1" applyFont="1" applyBorder="1" applyProtection="1">
      <protection hidden="1"/>
    </xf>
    <xf numFmtId="3" fontId="40" fillId="0" borderId="0" xfId="0" applyNumberFormat="1" applyFont="1" applyAlignment="1" applyProtection="1">
      <alignment horizontal="center" vertical="center"/>
      <protection hidden="1"/>
    </xf>
    <xf numFmtId="3" fontId="4" fillId="0" borderId="0" xfId="0" applyNumberFormat="1" applyFont="1" applyAlignment="1">
      <alignment horizontal="center" vertical="center"/>
    </xf>
    <xf numFmtId="167" fontId="43" fillId="0" borderId="153" xfId="0" applyNumberFormat="1" applyFont="1" applyBorder="1" applyAlignment="1" applyProtection="1">
      <alignment horizontal="center" vertical="center"/>
      <protection hidden="1"/>
    </xf>
    <xf numFmtId="3" fontId="10" fillId="9" borderId="157" xfId="0" applyNumberFormat="1" applyFont="1" applyFill="1" applyBorder="1" applyAlignment="1" applyProtection="1">
      <alignment horizontal="center" vertical="center"/>
      <protection hidden="1"/>
    </xf>
    <xf numFmtId="164" fontId="43" fillId="0" borderId="157" xfId="0" applyNumberFormat="1" applyFont="1" applyBorder="1" applyAlignment="1" applyProtection="1">
      <alignment horizontal="center" vertical="center"/>
      <protection hidden="1"/>
    </xf>
    <xf numFmtId="3" fontId="4" fillId="0" borderId="234" xfId="0" applyNumberFormat="1" applyFont="1" applyBorder="1" applyAlignment="1" applyProtection="1">
      <alignment horizontal="center" vertical="center"/>
      <protection hidden="1"/>
    </xf>
    <xf numFmtId="0" fontId="0" fillId="0" borderId="11" xfId="0" applyBorder="1"/>
    <xf numFmtId="0" fontId="5" fillId="0" borderId="20" xfId="0" applyFont="1" applyBorder="1" applyAlignment="1" applyProtection="1">
      <alignment vertical="center"/>
      <protection hidden="1"/>
    </xf>
    <xf numFmtId="0" fontId="5" fillId="0" borderId="20" xfId="0" applyFont="1" applyBorder="1" applyAlignment="1" applyProtection="1">
      <alignment horizontal="center" vertical="center"/>
      <protection hidden="1"/>
    </xf>
    <xf numFmtId="0" fontId="5" fillId="0" borderId="20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32" xfId="0" applyFont="1" applyBorder="1" applyAlignment="1" applyProtection="1">
      <alignment vertical="center"/>
      <protection hidden="1"/>
    </xf>
    <xf numFmtId="0" fontId="5" fillId="0" borderId="32" xfId="0" applyFont="1" applyBorder="1" applyAlignment="1" applyProtection="1">
      <alignment horizontal="center" vertical="center"/>
      <protection hidden="1"/>
    </xf>
    <xf numFmtId="0" fontId="5" fillId="0" borderId="32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18" xfId="0" applyFont="1" applyBorder="1" applyAlignment="1" applyProtection="1">
      <alignment horizontal="center" vertical="center"/>
      <protection hidden="1"/>
    </xf>
    <xf numFmtId="10" fontId="2" fillId="5" borderId="18" xfId="0" applyNumberFormat="1" applyFont="1" applyFill="1" applyBorder="1" applyAlignment="1">
      <alignment horizontal="center" vertical="center"/>
    </xf>
    <xf numFmtId="3" fontId="5" fillId="0" borderId="18" xfId="0" applyNumberFormat="1" applyFont="1" applyBorder="1" applyAlignment="1" applyProtection="1">
      <alignment horizontal="center" vertical="center"/>
      <protection hidden="1"/>
    </xf>
    <xf numFmtId="3" fontId="5" fillId="0" borderId="18" xfId="0" applyNumberFormat="1" applyFont="1" applyBorder="1" applyAlignment="1">
      <alignment horizontal="center" vertical="center"/>
    </xf>
    <xf numFmtId="3" fontId="68" fillId="0" borderId="35" xfId="2" applyNumberFormat="1" applyFont="1" applyBorder="1" applyAlignment="1" applyProtection="1">
      <alignment horizontal="center" vertical="center"/>
      <protection locked="0"/>
    </xf>
    <xf numFmtId="3" fontId="68" fillId="0" borderId="21" xfId="2" applyNumberFormat="1" applyFont="1" applyBorder="1" applyAlignment="1" applyProtection="1">
      <alignment horizontal="center" vertical="center"/>
      <protection locked="0"/>
    </xf>
    <xf numFmtId="0" fontId="5" fillId="0" borderId="22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5" fillId="0" borderId="9" xfId="0" applyFont="1" applyBorder="1" applyAlignment="1" applyProtection="1">
      <alignment horizontal="center" vertical="center"/>
      <protection hidden="1"/>
    </xf>
    <xf numFmtId="0" fontId="5" fillId="0" borderId="59" xfId="0" applyFont="1" applyBorder="1" applyAlignment="1" applyProtection="1">
      <alignment horizontal="center" vertical="center"/>
      <protection hidden="1"/>
    </xf>
    <xf numFmtId="3" fontId="5" fillId="0" borderId="43" xfId="0" applyNumberFormat="1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horizontal="center" vertical="center"/>
      <protection hidden="1"/>
    </xf>
    <xf numFmtId="0" fontId="5" fillId="0" borderId="52" xfId="0" applyFont="1" applyBorder="1" applyAlignment="1" applyProtection="1">
      <alignment horizontal="center" vertical="center"/>
      <protection hidden="1"/>
    </xf>
    <xf numFmtId="0" fontId="5" fillId="0" borderId="19" xfId="0" applyFont="1" applyBorder="1" applyAlignment="1" applyProtection="1">
      <alignment vertical="center"/>
      <protection hidden="1"/>
    </xf>
    <xf numFmtId="0" fontId="5" fillId="0" borderId="24" xfId="0" applyFont="1" applyBorder="1" applyAlignment="1" applyProtection="1">
      <alignment vertical="center"/>
      <protection hidden="1"/>
    </xf>
    <xf numFmtId="0" fontId="5" fillId="0" borderId="21" xfId="0" applyFont="1" applyBorder="1" applyAlignment="1" applyProtection="1">
      <alignment horizontal="center" vertical="center"/>
      <protection hidden="1"/>
    </xf>
    <xf numFmtId="164" fontId="5" fillId="0" borderId="18" xfId="2" applyNumberFormat="1" applyFont="1" applyFill="1" applyBorder="1" applyAlignment="1" applyProtection="1">
      <alignment horizontal="center" vertical="center"/>
      <protection hidden="1"/>
    </xf>
    <xf numFmtId="3" fontId="5" fillId="5" borderId="20" xfId="2" applyNumberFormat="1" applyFont="1" applyFill="1" applyBorder="1" applyAlignment="1">
      <alignment horizontal="center" vertical="center"/>
    </xf>
    <xf numFmtId="10" fontId="2" fillId="5" borderId="20" xfId="0" applyNumberFormat="1" applyFont="1" applyFill="1" applyBorder="1" applyAlignment="1">
      <alignment horizontal="center" vertical="center"/>
    </xf>
    <xf numFmtId="10" fontId="2" fillId="5" borderId="18" xfId="2" applyNumberFormat="1" applyFont="1" applyFill="1" applyBorder="1" applyAlignment="1" applyProtection="1">
      <alignment horizontal="center" vertical="center"/>
      <protection hidden="1"/>
    </xf>
    <xf numFmtId="10" fontId="2" fillId="5" borderId="20" xfId="2" applyNumberFormat="1" applyFont="1" applyFill="1" applyBorder="1" applyAlignment="1" applyProtection="1">
      <alignment horizontal="center" vertical="center"/>
      <protection hidden="1"/>
    </xf>
    <xf numFmtId="10" fontId="5" fillId="5" borderId="35" xfId="0" applyNumberFormat="1" applyFont="1" applyFill="1" applyBorder="1" applyAlignment="1">
      <alignment horizontal="center" vertical="center"/>
    </xf>
    <xf numFmtId="10" fontId="5" fillId="5" borderId="21" xfId="0" applyNumberFormat="1" applyFont="1" applyFill="1" applyBorder="1" applyAlignment="1">
      <alignment horizontal="center" vertical="center"/>
    </xf>
    <xf numFmtId="10" fontId="0" fillId="5" borderId="36" xfId="0" applyNumberFormat="1" applyFill="1" applyBorder="1"/>
    <xf numFmtId="10" fontId="0" fillId="5" borderId="35" xfId="0" applyNumberFormat="1" applyFill="1" applyBorder="1"/>
    <xf numFmtId="3" fontId="5" fillId="5" borderId="18" xfId="0" applyNumberFormat="1" applyFont="1" applyFill="1" applyBorder="1" applyAlignment="1">
      <alignment horizontal="center" vertical="center"/>
    </xf>
    <xf numFmtId="3" fontId="5" fillId="0" borderId="36" xfId="0" applyNumberFormat="1" applyFont="1" applyBorder="1" applyAlignment="1">
      <alignment horizontal="center" vertical="center"/>
    </xf>
    <xf numFmtId="3" fontId="5" fillId="0" borderId="35" xfId="0" applyNumberFormat="1" applyFont="1" applyBorder="1" applyAlignment="1">
      <alignment horizontal="center" vertical="center"/>
    </xf>
    <xf numFmtId="10" fontId="5" fillId="5" borderId="18" xfId="0" applyNumberFormat="1" applyFont="1" applyFill="1" applyBorder="1" applyAlignment="1">
      <alignment horizontal="center" vertical="center"/>
    </xf>
    <xf numFmtId="10" fontId="2" fillId="7" borderId="20" xfId="0" applyNumberFormat="1" applyFont="1" applyFill="1" applyBorder="1" applyAlignment="1">
      <alignment horizontal="center" vertical="center"/>
    </xf>
    <xf numFmtId="10" fontId="2" fillId="7" borderId="18" xfId="0" applyNumberFormat="1" applyFont="1" applyFill="1" applyBorder="1" applyAlignment="1">
      <alignment horizontal="center" vertical="center"/>
    </xf>
    <xf numFmtId="17" fontId="5" fillId="0" borderId="8" xfId="0" applyNumberFormat="1" applyFont="1" applyBorder="1" applyAlignment="1" applyProtection="1">
      <alignment horizontal="center" vertical="center"/>
      <protection hidden="1"/>
    </xf>
    <xf numFmtId="0" fontId="5" fillId="0" borderId="8" xfId="0" applyFont="1" applyBorder="1" applyAlignment="1" applyProtection="1">
      <alignment horizontal="center" vertical="center"/>
      <protection hidden="1"/>
    </xf>
    <xf numFmtId="3" fontId="5" fillId="0" borderId="8" xfId="0" applyNumberFormat="1" applyFont="1" applyBorder="1" applyAlignment="1" applyProtection="1">
      <alignment horizontal="center" vertical="center"/>
      <protection hidden="1"/>
    </xf>
    <xf numFmtId="3" fontId="5" fillId="0" borderId="8" xfId="0" applyNumberFormat="1" applyFont="1" applyBorder="1" applyAlignment="1">
      <alignment horizontal="center" vertical="center"/>
    </xf>
    <xf numFmtId="3" fontId="68" fillId="0" borderId="8" xfId="2" applyNumberFormat="1" applyFont="1" applyBorder="1" applyAlignment="1" applyProtection="1">
      <alignment horizontal="center" vertical="center"/>
    </xf>
    <xf numFmtId="1" fontId="5" fillId="0" borderId="8" xfId="0" applyNumberFormat="1" applyFont="1" applyBorder="1" applyAlignment="1">
      <alignment horizontal="center" vertical="center"/>
    </xf>
    <xf numFmtId="17" fontId="5" fillId="0" borderId="0" xfId="0" applyNumberFormat="1" applyFont="1" applyAlignment="1" applyProtection="1">
      <alignment horizontal="center" vertical="center"/>
      <protection hidden="1"/>
    </xf>
    <xf numFmtId="3" fontId="5" fillId="0" borderId="0" xfId="0" applyNumberFormat="1" applyFont="1" applyAlignment="1">
      <alignment horizontal="center" vertical="center"/>
    </xf>
    <xf numFmtId="3" fontId="68" fillId="0" borderId="0" xfId="2" applyNumberFormat="1" applyFont="1" applyBorder="1" applyAlignment="1" applyProtection="1">
      <alignment horizontal="center" vertical="center"/>
    </xf>
    <xf numFmtId="1" fontId="5" fillId="0" borderId="0" xfId="0" applyNumberFormat="1" applyFont="1" applyAlignment="1">
      <alignment horizontal="center" vertical="center"/>
    </xf>
    <xf numFmtId="6" fontId="5" fillId="0" borderId="0" xfId="0" applyNumberFormat="1" applyFont="1" applyAlignment="1" applyProtection="1">
      <alignment horizontal="center" vertical="center"/>
      <protection hidden="1"/>
    </xf>
    <xf numFmtId="164" fontId="49" fillId="0" borderId="18" xfId="0" applyNumberFormat="1" applyFont="1" applyBorder="1" applyAlignment="1" applyProtection="1">
      <alignment horizontal="center" vertical="center"/>
      <protection hidden="1"/>
    </xf>
    <xf numFmtId="164" fontId="49" fillId="0" borderId="153" xfId="0" applyNumberFormat="1" applyFont="1" applyBorder="1" applyAlignment="1" applyProtection="1">
      <alignment horizontal="center" vertical="center"/>
      <protection hidden="1"/>
    </xf>
    <xf numFmtId="14" fontId="2" fillId="0" borderId="0" xfId="0" applyNumberFormat="1" applyFont="1" applyAlignment="1">
      <alignment horizontal="right"/>
    </xf>
    <xf numFmtId="3" fontId="5" fillId="0" borderId="131" xfId="0" applyNumberFormat="1" applyFont="1" applyBorder="1" applyAlignment="1" applyProtection="1">
      <alignment horizontal="center" vertical="center"/>
      <protection hidden="1"/>
    </xf>
    <xf numFmtId="3" fontId="5" fillId="0" borderId="119" xfId="0" applyNumberFormat="1" applyFont="1" applyBorder="1" applyAlignment="1" applyProtection="1">
      <alignment horizontal="center" vertical="center"/>
      <protection hidden="1"/>
    </xf>
    <xf numFmtId="3" fontId="2" fillId="0" borderId="131" xfId="0" applyNumberFormat="1" applyFont="1" applyBorder="1" applyAlignment="1" applyProtection="1">
      <alignment horizontal="center" vertical="center"/>
      <protection hidden="1"/>
    </xf>
    <xf numFmtId="3" fontId="2" fillId="0" borderId="119" xfId="0" applyNumberFormat="1" applyFont="1" applyBorder="1" applyAlignment="1" applyProtection="1">
      <alignment horizontal="center" vertical="center"/>
      <protection hidden="1"/>
    </xf>
    <xf numFmtId="167" fontId="5" fillId="0" borderId="131" xfId="0" applyNumberFormat="1" applyFont="1" applyBorder="1" applyAlignment="1" applyProtection="1">
      <alignment horizontal="center" vertical="center"/>
      <protection hidden="1"/>
    </xf>
    <xf numFmtId="167" fontId="5" fillId="0" borderId="119" xfId="0" applyNumberFormat="1" applyFont="1" applyBorder="1" applyAlignment="1" applyProtection="1">
      <alignment horizontal="center" vertical="center"/>
      <protection hidden="1"/>
    </xf>
    <xf numFmtId="167" fontId="2" fillId="0" borderId="131" xfId="0" applyNumberFormat="1" applyFont="1" applyBorder="1" applyAlignment="1" applyProtection="1">
      <alignment horizontal="center" vertical="center"/>
      <protection hidden="1"/>
    </xf>
    <xf numFmtId="167" fontId="2" fillId="0" borderId="119" xfId="0" applyNumberFormat="1" applyFont="1" applyBorder="1" applyAlignment="1" applyProtection="1">
      <alignment horizontal="center" vertical="center"/>
      <protection hidden="1"/>
    </xf>
    <xf numFmtId="3" fontId="9" fillId="0" borderId="119" xfId="0" applyNumberFormat="1" applyFont="1" applyBorder="1" applyAlignment="1" applyProtection="1">
      <alignment horizontal="center" vertical="center"/>
      <protection hidden="1"/>
    </xf>
    <xf numFmtId="0" fontId="2" fillId="0" borderId="117" xfId="0" applyFont="1" applyBorder="1" applyAlignment="1">
      <alignment horizontal="left" vertical="center" indent="1"/>
    </xf>
    <xf numFmtId="0" fontId="10" fillId="0" borderId="109" xfId="0" applyFont="1" applyBorder="1" applyAlignment="1" applyProtection="1">
      <alignment horizontal="left" vertical="center"/>
      <protection hidden="1"/>
    </xf>
    <xf numFmtId="0" fontId="69" fillId="11" borderId="10" xfId="0" applyFont="1" applyFill="1" applyBorder="1" applyAlignment="1">
      <alignment horizontal="center" vertical="center"/>
    </xf>
    <xf numFmtId="1" fontId="54" fillId="11" borderId="42" xfId="0" applyNumberFormat="1" applyFont="1" applyFill="1" applyBorder="1" applyAlignment="1">
      <alignment horizontal="center" vertical="center"/>
    </xf>
    <xf numFmtId="0" fontId="69" fillId="11" borderId="29" xfId="0" applyFont="1" applyFill="1" applyBorder="1" applyAlignment="1">
      <alignment horizontal="center" vertical="center"/>
    </xf>
    <xf numFmtId="0" fontId="69" fillId="11" borderId="54" xfId="0" applyFont="1" applyFill="1" applyBorder="1" applyAlignment="1">
      <alignment horizontal="center" vertical="center"/>
    </xf>
    <xf numFmtId="0" fontId="54" fillId="11" borderId="42" xfId="0" applyFont="1" applyFill="1" applyBorder="1" applyAlignment="1" applyProtection="1">
      <alignment horizontal="center" vertical="center"/>
      <protection hidden="1"/>
    </xf>
    <xf numFmtId="0" fontId="69" fillId="11" borderId="63" xfId="0" applyFont="1" applyFill="1" applyBorder="1" applyAlignment="1">
      <alignment horizontal="center" vertical="center"/>
    </xf>
    <xf numFmtId="0" fontId="69" fillId="11" borderId="79" xfId="0" applyFont="1" applyFill="1" applyBorder="1" applyAlignment="1">
      <alignment horizontal="left" vertical="center"/>
    </xf>
    <xf numFmtId="0" fontId="71" fillId="11" borderId="64" xfId="0" applyFont="1" applyFill="1" applyBorder="1" applyAlignment="1">
      <alignment horizontal="center" vertical="center"/>
    </xf>
    <xf numFmtId="0" fontId="71" fillId="11" borderId="64" xfId="0" applyFont="1" applyFill="1" applyBorder="1" applyAlignment="1">
      <alignment horizontal="center" vertical="center" wrapText="1"/>
    </xf>
    <xf numFmtId="0" fontId="70" fillId="11" borderId="64" xfId="0" applyFont="1" applyFill="1" applyBorder="1" applyAlignment="1">
      <alignment horizontal="center" vertical="center"/>
    </xf>
    <xf numFmtId="0" fontId="70" fillId="11" borderId="51" xfId="0" applyFont="1" applyFill="1" applyBorder="1" applyAlignment="1">
      <alignment horizontal="center" vertical="top" wrapText="1"/>
    </xf>
    <xf numFmtId="0" fontId="72" fillId="11" borderId="27" xfId="0" applyFont="1" applyFill="1" applyBorder="1" applyAlignment="1">
      <alignment horizontal="center" wrapText="1"/>
    </xf>
    <xf numFmtId="0" fontId="69" fillId="11" borderId="69" xfId="0" applyFont="1" applyFill="1" applyBorder="1" applyAlignment="1">
      <alignment horizontal="right" vertical="center" indent="1"/>
    </xf>
    <xf numFmtId="0" fontId="70" fillId="11" borderId="10" xfId="0" applyFont="1" applyFill="1" applyBorder="1" applyAlignment="1">
      <alignment horizontal="center" vertical="center"/>
    </xf>
    <xf numFmtId="0" fontId="70" fillId="11" borderId="29" xfId="0" applyFont="1" applyFill="1" applyBorder="1" applyAlignment="1">
      <alignment horizontal="center" vertical="center"/>
    </xf>
    <xf numFmtId="0" fontId="70" fillId="11" borderId="30" xfId="0" applyFont="1" applyFill="1" applyBorder="1" applyAlignment="1">
      <alignment horizontal="center" vertical="center"/>
    </xf>
    <xf numFmtId="1" fontId="54" fillId="11" borderId="59" xfId="0" applyNumberFormat="1" applyFont="1" applyFill="1" applyBorder="1" applyAlignment="1" applyProtection="1">
      <alignment horizontal="center" vertical="center"/>
      <protection hidden="1"/>
    </xf>
    <xf numFmtId="1" fontId="54" fillId="11" borderId="32" xfId="0" applyNumberFormat="1" applyFont="1" applyFill="1" applyBorder="1" applyAlignment="1" applyProtection="1">
      <alignment horizontal="center" vertical="center"/>
      <protection hidden="1"/>
    </xf>
    <xf numFmtId="1" fontId="54" fillId="11" borderId="33" xfId="0" applyNumberFormat="1" applyFont="1" applyFill="1" applyBorder="1" applyAlignment="1" applyProtection="1">
      <alignment horizontal="center" vertical="center"/>
      <protection hidden="1"/>
    </xf>
    <xf numFmtId="0" fontId="72" fillId="11" borderId="27" xfId="0" applyFont="1" applyFill="1" applyBorder="1" applyAlignment="1">
      <alignment horizontal="center" vertical="center" wrapText="1"/>
    </xf>
    <xf numFmtId="0" fontId="72" fillId="11" borderId="0" xfId="0" applyFont="1" applyFill="1" applyAlignment="1">
      <alignment horizontal="center" vertical="center" wrapText="1"/>
    </xf>
    <xf numFmtId="1" fontId="54" fillId="11" borderId="26" xfId="0" applyNumberFormat="1" applyFont="1" applyFill="1" applyBorder="1" applyAlignment="1" applyProtection="1">
      <alignment horizontal="center" vertical="center"/>
      <protection hidden="1"/>
    </xf>
    <xf numFmtId="1" fontId="54" fillId="11" borderId="61" xfId="0" applyNumberFormat="1" applyFont="1" applyFill="1" applyBorder="1" applyAlignment="1" applyProtection="1">
      <alignment horizontal="center" vertical="center"/>
      <protection hidden="1"/>
    </xf>
    <xf numFmtId="1" fontId="54" fillId="11" borderId="0" xfId="0" applyNumberFormat="1" applyFont="1" applyFill="1" applyAlignment="1" applyProtection="1">
      <alignment horizontal="right" vertical="center" indent="1"/>
      <protection hidden="1"/>
    </xf>
    <xf numFmtId="0" fontId="65" fillId="11" borderId="13" xfId="0" applyFont="1" applyFill="1" applyBorder="1" applyAlignment="1">
      <alignment horizontal="center" vertical="center"/>
    </xf>
    <xf numFmtId="0" fontId="65" fillId="11" borderId="3" xfId="0" applyFont="1" applyFill="1" applyBorder="1" applyAlignment="1">
      <alignment vertical="center"/>
    </xf>
    <xf numFmtId="0" fontId="65" fillId="11" borderId="10" xfId="0" applyFont="1" applyFill="1" applyBorder="1" applyAlignment="1">
      <alignment vertical="center"/>
    </xf>
    <xf numFmtId="0" fontId="64" fillId="11" borderId="27" xfId="0" applyFont="1" applyFill="1" applyBorder="1" applyAlignment="1">
      <alignment horizontal="left" vertical="center"/>
    </xf>
    <xf numFmtId="0" fontId="72" fillId="11" borderId="0" xfId="0" applyFont="1" applyFill="1" applyAlignment="1">
      <alignment vertical="center"/>
    </xf>
    <xf numFmtId="0" fontId="65" fillId="11" borderId="31" xfId="0" applyFont="1" applyFill="1" applyBorder="1" applyAlignment="1">
      <alignment vertical="center"/>
    </xf>
    <xf numFmtId="1" fontId="54" fillId="11" borderId="60" xfId="0" applyNumberFormat="1" applyFont="1" applyFill="1" applyBorder="1" applyAlignment="1">
      <alignment horizontal="center" vertical="center"/>
    </xf>
    <xf numFmtId="1" fontId="54" fillId="11" borderId="32" xfId="0" applyNumberFormat="1" applyFont="1" applyFill="1" applyBorder="1" applyAlignment="1">
      <alignment horizontal="center" vertical="center"/>
    </xf>
    <xf numFmtId="0" fontId="72" fillId="11" borderId="40" xfId="0" applyFont="1" applyFill="1" applyBorder="1" applyAlignment="1">
      <alignment horizontal="center" vertical="center"/>
    </xf>
    <xf numFmtId="0" fontId="72" fillId="11" borderId="17" xfId="0" applyFont="1" applyFill="1" applyBorder="1" applyAlignment="1">
      <alignment vertical="center"/>
    </xf>
    <xf numFmtId="0" fontId="65" fillId="11" borderId="59" xfId="0" applyFont="1" applyFill="1" applyBorder="1" applyAlignment="1">
      <alignment vertical="center"/>
    </xf>
    <xf numFmtId="168" fontId="65" fillId="11" borderId="32" xfId="0" applyNumberFormat="1" applyFont="1" applyFill="1" applyBorder="1" applyAlignment="1">
      <alignment horizontal="center" vertical="center"/>
    </xf>
    <xf numFmtId="168" fontId="65" fillId="11" borderId="18" xfId="0" applyNumberFormat="1" applyFont="1" applyFill="1" applyBorder="1" applyAlignment="1">
      <alignment horizontal="center" vertical="center"/>
    </xf>
    <xf numFmtId="168" fontId="65" fillId="11" borderId="23" xfId="0" applyNumberFormat="1" applyFont="1" applyFill="1" applyBorder="1" applyAlignment="1">
      <alignment horizontal="center" vertical="center"/>
    </xf>
    <xf numFmtId="0" fontId="70" fillId="11" borderId="10" xfId="0" applyFont="1" applyFill="1" applyBorder="1" applyAlignment="1" applyProtection="1">
      <alignment horizontal="center" vertical="center"/>
      <protection hidden="1"/>
    </xf>
    <xf numFmtId="0" fontId="70" fillId="11" borderId="29" xfId="0" applyFont="1" applyFill="1" applyBorder="1" applyAlignment="1" applyProtection="1">
      <alignment horizontal="center" vertical="center"/>
      <protection hidden="1"/>
    </xf>
    <xf numFmtId="0" fontId="70" fillId="11" borderId="30" xfId="0" applyFont="1" applyFill="1" applyBorder="1" applyAlignment="1" applyProtection="1">
      <alignment horizontal="center" vertical="center"/>
      <protection hidden="1"/>
    </xf>
    <xf numFmtId="1" fontId="54" fillId="11" borderId="31" xfId="0" applyNumberFormat="1" applyFont="1" applyFill="1" applyBorder="1" applyAlignment="1" applyProtection="1">
      <alignment horizontal="center" vertical="center"/>
      <protection hidden="1"/>
    </xf>
    <xf numFmtId="1" fontId="54" fillId="11" borderId="60" xfId="0" applyNumberFormat="1" applyFont="1" applyFill="1" applyBorder="1" applyAlignment="1" applyProtection="1">
      <alignment horizontal="center" vertical="center"/>
      <protection hidden="1"/>
    </xf>
    <xf numFmtId="0" fontId="70" fillId="11" borderId="3" xfId="0" applyFont="1" applyFill="1" applyBorder="1" applyAlignment="1">
      <alignment horizontal="center" vertical="center"/>
    </xf>
    <xf numFmtId="3" fontId="70" fillId="11" borderId="29" xfId="0" applyNumberFormat="1" applyFont="1" applyFill="1" applyBorder="1" applyAlignment="1">
      <alignment horizontal="center" vertical="center"/>
    </xf>
    <xf numFmtId="3" fontId="70" fillId="11" borderId="29" xfId="0" applyNumberFormat="1" applyFont="1" applyFill="1" applyBorder="1" applyAlignment="1" applyProtection="1">
      <alignment horizontal="center" vertical="center"/>
      <protection hidden="1"/>
    </xf>
    <xf numFmtId="3" fontId="70" fillId="11" borderId="30" xfId="0" applyNumberFormat="1" applyFont="1" applyFill="1" applyBorder="1" applyAlignment="1" applyProtection="1">
      <alignment horizontal="center" vertical="center"/>
      <protection hidden="1"/>
    </xf>
    <xf numFmtId="0" fontId="70" fillId="11" borderId="17" xfId="0" applyFont="1" applyFill="1" applyBorder="1" applyAlignment="1">
      <alignment horizontal="center" vertical="center"/>
    </xf>
    <xf numFmtId="0" fontId="69" fillId="11" borderId="18" xfId="0" applyFont="1" applyFill="1" applyBorder="1" applyAlignment="1" applyProtection="1">
      <alignment horizontal="center" vertical="center"/>
      <protection hidden="1"/>
    </xf>
    <xf numFmtId="0" fontId="69" fillId="11" borderId="21" xfId="0" applyFont="1" applyFill="1" applyBorder="1" applyAlignment="1" applyProtection="1">
      <alignment horizontal="center" vertical="center"/>
      <protection hidden="1"/>
    </xf>
    <xf numFmtId="1" fontId="69" fillId="11" borderId="33" xfId="0" applyNumberFormat="1" applyFont="1" applyFill="1" applyBorder="1" applyAlignment="1" applyProtection="1">
      <alignment horizontal="center" vertical="center"/>
      <protection hidden="1"/>
    </xf>
    <xf numFmtId="0" fontId="70" fillId="11" borderId="54" xfId="0" applyFont="1" applyFill="1" applyBorder="1" applyAlignment="1" applyProtection="1">
      <alignment horizontal="center" vertical="center"/>
      <protection hidden="1"/>
    </xf>
    <xf numFmtId="1" fontId="54" fillId="11" borderId="24" xfId="0" applyNumberFormat="1" applyFont="1" applyFill="1" applyBorder="1" applyAlignment="1" applyProtection="1">
      <alignment horizontal="center" vertical="center"/>
      <protection hidden="1"/>
    </xf>
    <xf numFmtId="0" fontId="72" fillId="11" borderId="14" xfId="0" applyFont="1" applyFill="1" applyBorder="1" applyAlignment="1">
      <alignment horizontal="center" vertical="center"/>
    </xf>
    <xf numFmtId="0" fontId="72" fillId="11" borderId="34" xfId="0" applyFont="1" applyFill="1" applyBorder="1" applyAlignment="1">
      <alignment vertical="center"/>
    </xf>
    <xf numFmtId="0" fontId="65" fillId="11" borderId="42" xfId="0" applyFont="1" applyFill="1" applyBorder="1" applyAlignment="1">
      <alignment vertical="center"/>
    </xf>
    <xf numFmtId="168" fontId="65" fillId="11" borderId="62" xfId="0" applyNumberFormat="1" applyFont="1" applyFill="1" applyBorder="1" applyAlignment="1" applyProtection="1">
      <alignment horizontal="center" vertical="center"/>
      <protection hidden="1"/>
    </xf>
    <xf numFmtId="168" fontId="65" fillId="11" borderId="38" xfId="0" applyNumberFormat="1" applyFont="1" applyFill="1" applyBorder="1" applyAlignment="1">
      <alignment horizontal="center" vertical="center"/>
    </xf>
    <xf numFmtId="168" fontId="65" fillId="11" borderId="56" xfId="0" applyNumberFormat="1" applyFont="1" applyFill="1" applyBorder="1" applyAlignment="1">
      <alignment horizontal="center" vertical="center"/>
    </xf>
    <xf numFmtId="168" fontId="65" fillId="11" borderId="55" xfId="0" applyNumberFormat="1" applyFont="1" applyFill="1" applyBorder="1" applyAlignment="1">
      <alignment horizontal="center" vertical="center"/>
    </xf>
    <xf numFmtId="0" fontId="72" fillId="11" borderId="27" xfId="0" applyFont="1" applyFill="1" applyBorder="1" applyAlignment="1">
      <alignment horizontal="center" vertical="center"/>
    </xf>
    <xf numFmtId="168" fontId="54" fillId="11" borderId="60" xfId="0" applyNumberFormat="1" applyFont="1" applyFill="1" applyBorder="1" applyAlignment="1">
      <alignment horizontal="center" vertical="center"/>
    </xf>
    <xf numFmtId="168" fontId="54" fillId="11" borderId="20" xfId="0" applyNumberFormat="1" applyFont="1" applyFill="1" applyBorder="1" applyAlignment="1">
      <alignment horizontal="center" vertical="center"/>
    </xf>
    <xf numFmtId="168" fontId="54" fillId="11" borderId="19" xfId="0" applyNumberFormat="1" applyFont="1" applyFill="1" applyBorder="1" applyAlignment="1">
      <alignment horizontal="center" vertical="center"/>
    </xf>
    <xf numFmtId="168" fontId="54" fillId="11" borderId="23" xfId="0" applyNumberFormat="1" applyFont="1" applyFill="1" applyBorder="1" applyAlignment="1">
      <alignment horizontal="center" vertical="center"/>
    </xf>
    <xf numFmtId="49" fontId="73" fillId="11" borderId="27" xfId="0" applyNumberFormat="1" applyFont="1" applyFill="1" applyBorder="1" applyAlignment="1">
      <alignment horizontal="center"/>
    </xf>
    <xf numFmtId="0" fontId="73" fillId="11" borderId="28" xfId="0" applyFont="1" applyFill="1" applyBorder="1" applyAlignment="1">
      <alignment horizontal="center"/>
    </xf>
    <xf numFmtId="49" fontId="73" fillId="11" borderId="12" xfId="0" applyNumberFormat="1" applyFont="1" applyFill="1" applyBorder="1" applyAlignment="1">
      <alignment horizontal="center"/>
    </xf>
    <xf numFmtId="0" fontId="73" fillId="11" borderId="23" xfId="0" applyFont="1" applyFill="1" applyBorder="1" applyAlignment="1">
      <alignment horizontal="center"/>
    </xf>
    <xf numFmtId="0" fontId="73" fillId="11" borderId="41" xfId="0" applyFont="1" applyFill="1" applyBorder="1" applyAlignment="1">
      <alignment horizontal="center" vertical="center"/>
    </xf>
    <xf numFmtId="0" fontId="73" fillId="11" borderId="15" xfId="0" applyFont="1" applyFill="1" applyBorder="1" applyAlignment="1">
      <alignment horizontal="center" vertical="center"/>
    </xf>
    <xf numFmtId="49" fontId="73" fillId="11" borderId="41" xfId="0" applyNumberFormat="1" applyFont="1" applyFill="1" applyBorder="1" applyAlignment="1">
      <alignment horizontal="center"/>
    </xf>
    <xf numFmtId="0" fontId="73" fillId="11" borderId="165" xfId="0" applyFont="1" applyFill="1" applyBorder="1" applyAlignment="1">
      <alignment horizontal="center"/>
    </xf>
    <xf numFmtId="0" fontId="69" fillId="11" borderId="41" xfId="0" applyFont="1" applyFill="1" applyBorder="1" applyAlignment="1">
      <alignment horizontal="center"/>
    </xf>
    <xf numFmtId="0" fontId="69" fillId="11" borderId="55" xfId="0" applyFont="1" applyFill="1" applyBorder="1" applyAlignment="1">
      <alignment horizontal="center"/>
    </xf>
    <xf numFmtId="0" fontId="73" fillId="11" borderId="55" xfId="0" applyFont="1" applyFill="1" applyBorder="1" applyAlignment="1">
      <alignment horizontal="center"/>
    </xf>
    <xf numFmtId="0" fontId="69" fillId="11" borderId="165" xfId="0" applyFont="1" applyFill="1" applyBorder="1" applyAlignment="1">
      <alignment horizontal="right" vertical="center" indent="1"/>
    </xf>
    <xf numFmtId="17" fontId="73" fillId="11" borderId="46" xfId="0" applyNumberFormat="1" applyFont="1" applyFill="1" applyBorder="1" applyAlignment="1">
      <alignment horizontal="center" vertical="center"/>
    </xf>
    <xf numFmtId="0" fontId="65" fillId="11" borderId="6" xfId="0" applyFont="1" applyFill="1" applyBorder="1" applyAlignment="1">
      <alignment horizontal="center" vertical="center"/>
    </xf>
    <xf numFmtId="0" fontId="54" fillId="11" borderId="200" xfId="0" applyFont="1" applyFill="1" applyBorder="1" applyAlignment="1">
      <alignment horizontal="center" vertical="center"/>
    </xf>
    <xf numFmtId="0" fontId="70" fillId="11" borderId="7" xfId="0" applyFont="1" applyFill="1" applyBorder="1" applyAlignment="1">
      <alignment horizontal="center" vertical="center"/>
    </xf>
    <xf numFmtId="0" fontId="70" fillId="11" borderId="54" xfId="0" applyFont="1" applyFill="1" applyBorder="1" applyAlignment="1">
      <alignment horizontal="center"/>
    </xf>
    <xf numFmtId="17" fontId="73" fillId="11" borderId="46" xfId="0" applyNumberFormat="1" applyFont="1" applyFill="1" applyBorder="1" applyAlignment="1">
      <alignment horizontal="center"/>
    </xf>
    <xf numFmtId="0" fontId="73" fillId="11" borderId="6" xfId="0" applyFont="1" applyFill="1" applyBorder="1" applyAlignment="1" applyProtection="1">
      <alignment horizontal="center"/>
      <protection hidden="1"/>
    </xf>
    <xf numFmtId="0" fontId="54" fillId="11" borderId="39" xfId="0" applyFont="1" applyFill="1" applyBorder="1" applyAlignment="1">
      <alignment horizontal="center" vertical="center"/>
    </xf>
    <xf numFmtId="0" fontId="73" fillId="11" borderId="4" xfId="0" applyFont="1" applyFill="1" applyBorder="1" applyAlignment="1">
      <alignment horizontal="center" vertical="center"/>
    </xf>
    <xf numFmtId="0" fontId="69" fillId="11" borderId="7" xfId="0" applyFont="1" applyFill="1" applyBorder="1" applyAlignment="1">
      <alignment horizontal="left" vertical="center" indent="1"/>
    </xf>
    <xf numFmtId="0" fontId="54" fillId="11" borderId="5" xfId="0" applyFont="1" applyFill="1" applyBorder="1" applyAlignment="1">
      <alignment horizontal="left" vertical="center"/>
    </xf>
    <xf numFmtId="0" fontId="54" fillId="11" borderId="101" xfId="0" applyFont="1" applyFill="1" applyBorder="1" applyAlignment="1">
      <alignment horizontal="left" vertical="center"/>
    </xf>
    <xf numFmtId="0" fontId="70" fillId="11" borderId="46" xfId="0" applyFont="1" applyFill="1" applyBorder="1" applyAlignment="1">
      <alignment horizontal="center" vertical="center"/>
    </xf>
    <xf numFmtId="17" fontId="73" fillId="11" borderId="46" xfId="0" applyNumberFormat="1" applyFont="1" applyFill="1" applyBorder="1" applyAlignment="1" applyProtection="1">
      <alignment horizontal="center"/>
      <protection hidden="1"/>
    </xf>
    <xf numFmtId="0" fontId="69" fillId="11" borderId="1" xfId="0" applyFont="1" applyFill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/>
      <protection hidden="1"/>
    </xf>
    <xf numFmtId="0" fontId="73" fillId="11" borderId="0" xfId="0" applyFont="1" applyFill="1" applyAlignment="1" applyProtection="1">
      <alignment horizontal="center" vertical="center"/>
      <protection hidden="1"/>
    </xf>
    <xf numFmtId="0" fontId="73" fillId="11" borderId="0" xfId="0" applyFont="1" applyFill="1" applyAlignment="1" applyProtection="1">
      <alignment horizontal="center" vertical="center" wrapText="1"/>
      <protection hidden="1"/>
    </xf>
    <xf numFmtId="1" fontId="9" fillId="0" borderId="0" xfId="0" applyNumberFormat="1" applyFont="1" applyAlignment="1" applyProtection="1">
      <alignment horizontal="center" vertical="center"/>
      <protection hidden="1"/>
    </xf>
    <xf numFmtId="166" fontId="10" fillId="0" borderId="0" xfId="0" applyNumberFormat="1" applyFont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 shrinkToFit="1"/>
      <protection hidden="1"/>
    </xf>
    <xf numFmtId="167" fontId="10" fillId="0" borderId="0" xfId="0" applyNumberFormat="1" applyFont="1" applyAlignment="1" applyProtection="1">
      <alignment horizontal="center" vertical="center" shrinkToFit="1"/>
      <protection hidden="1"/>
    </xf>
    <xf numFmtId="166" fontId="9" fillId="0" borderId="0" xfId="0" applyNumberFormat="1" applyFont="1" applyAlignment="1" applyProtection="1">
      <alignment horizontal="center" vertical="center" shrinkToFit="1"/>
      <protection hidden="1"/>
    </xf>
    <xf numFmtId="0" fontId="9" fillId="0" borderId="0" xfId="0" applyFont="1" applyAlignment="1" applyProtection="1">
      <alignment horizontal="center" vertical="center" shrinkToFit="1"/>
      <protection hidden="1"/>
    </xf>
    <xf numFmtId="167" fontId="9" fillId="0" borderId="0" xfId="0" applyNumberFormat="1" applyFont="1" applyAlignment="1" applyProtection="1">
      <alignment horizontal="center" vertical="center" shrinkToFit="1"/>
      <protection hidden="1"/>
    </xf>
    <xf numFmtId="0" fontId="69" fillId="11" borderId="240" xfId="0" applyFont="1" applyFill="1" applyBorder="1" applyAlignment="1">
      <alignment horizontal="left" vertical="center"/>
    </xf>
    <xf numFmtId="0" fontId="69" fillId="11" borderId="240" xfId="0" applyFont="1" applyFill="1" applyBorder="1" applyAlignment="1" applyProtection="1">
      <alignment horizontal="left" vertical="center"/>
      <protection hidden="1"/>
    </xf>
    <xf numFmtId="0" fontId="71" fillId="11" borderId="0" xfId="0" applyFont="1" applyFill="1" applyAlignment="1">
      <alignment horizontal="center" vertical="center"/>
    </xf>
    <xf numFmtId="0" fontId="71" fillId="11" borderId="241" xfId="0" applyFont="1" applyFill="1" applyBorder="1" applyAlignment="1">
      <alignment horizontal="center" vertical="center"/>
    </xf>
    <xf numFmtId="0" fontId="71" fillId="11" borderId="240" xfId="0" applyFont="1" applyFill="1" applyBorder="1" applyAlignment="1">
      <alignment horizontal="center" vertical="center"/>
    </xf>
    <xf numFmtId="0" fontId="71" fillId="11" borderId="243" xfId="0" applyFont="1" applyFill="1" applyBorder="1" applyAlignment="1">
      <alignment horizontal="center" vertical="center"/>
    </xf>
    <xf numFmtId="0" fontId="9" fillId="8" borderId="0" xfId="0" applyFont="1" applyFill="1" applyAlignment="1" applyProtection="1">
      <alignment horizontal="left" vertical="center"/>
      <protection hidden="1"/>
    </xf>
    <xf numFmtId="167" fontId="10" fillId="0" borderId="0" xfId="0" applyNumberFormat="1" applyFont="1" applyAlignment="1" applyProtection="1">
      <alignment horizontal="center" vertical="center"/>
      <protection hidden="1"/>
    </xf>
    <xf numFmtId="1" fontId="10" fillId="8" borderId="245" xfId="0" applyNumberFormat="1" applyFont="1" applyFill="1" applyBorder="1" applyAlignment="1" applyProtection="1">
      <alignment horizontal="center" vertical="center"/>
      <protection hidden="1"/>
    </xf>
    <xf numFmtId="167" fontId="10" fillId="8" borderId="245" xfId="0" applyNumberFormat="1" applyFont="1" applyFill="1" applyBorder="1" applyAlignment="1" applyProtection="1">
      <alignment horizontal="center" vertical="center"/>
      <protection hidden="1"/>
    </xf>
    <xf numFmtId="167" fontId="10" fillId="8" borderId="246" xfId="0" applyNumberFormat="1" applyFont="1" applyFill="1" applyBorder="1" applyAlignment="1" applyProtection="1">
      <alignment horizontal="center" vertical="center"/>
      <protection hidden="1"/>
    </xf>
    <xf numFmtId="1" fontId="10" fillId="8" borderId="248" xfId="0" applyNumberFormat="1" applyFont="1" applyFill="1" applyBorder="1" applyAlignment="1" applyProtection="1">
      <alignment horizontal="center" vertical="center"/>
      <protection hidden="1"/>
    </xf>
    <xf numFmtId="167" fontId="10" fillId="8" borderId="248" xfId="0" applyNumberFormat="1" applyFont="1" applyFill="1" applyBorder="1" applyAlignment="1" applyProtection="1">
      <alignment horizontal="center" vertical="center"/>
      <protection hidden="1"/>
    </xf>
    <xf numFmtId="167" fontId="10" fillId="8" borderId="249" xfId="0" applyNumberFormat="1" applyFont="1" applyFill="1" applyBorder="1" applyAlignment="1" applyProtection="1">
      <alignment horizontal="center" vertical="center"/>
      <protection hidden="1"/>
    </xf>
    <xf numFmtId="1" fontId="10" fillId="8" borderId="251" xfId="0" applyNumberFormat="1" applyFont="1" applyFill="1" applyBorder="1" applyAlignment="1" applyProtection="1">
      <alignment horizontal="center" vertical="center"/>
      <protection hidden="1"/>
    </xf>
    <xf numFmtId="167" fontId="10" fillId="8" borderId="251" xfId="0" applyNumberFormat="1" applyFont="1" applyFill="1" applyBorder="1" applyAlignment="1" applyProtection="1">
      <alignment horizontal="center" vertical="center"/>
      <protection hidden="1"/>
    </xf>
    <xf numFmtId="167" fontId="10" fillId="8" borderId="252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shrinkToFit="1"/>
      <protection hidden="1"/>
    </xf>
    <xf numFmtId="3" fontId="10" fillId="0" borderId="0" xfId="0" applyNumberFormat="1" applyFont="1" applyAlignment="1">
      <alignment horizontal="right" vertical="center"/>
    </xf>
    <xf numFmtId="0" fontId="43" fillId="0" borderId="218" xfId="0" applyFont="1" applyBorder="1" applyAlignment="1">
      <alignment horizontal="right" vertical="center"/>
    </xf>
    <xf numFmtId="0" fontId="54" fillId="11" borderId="107" xfId="0" applyFont="1" applyFill="1" applyBorder="1" applyAlignment="1">
      <alignment vertical="center"/>
    </xf>
    <xf numFmtId="0" fontId="10" fillId="0" borderId="260" xfId="0" applyFont="1" applyBorder="1" applyAlignment="1" applyProtection="1">
      <alignment horizontal="left" vertical="center"/>
      <protection hidden="1"/>
    </xf>
    <xf numFmtId="0" fontId="10" fillId="0" borderId="261" xfId="0" applyFont="1" applyBorder="1" applyAlignment="1" applyProtection="1">
      <alignment horizontal="left" vertical="center"/>
      <protection hidden="1"/>
    </xf>
    <xf numFmtId="0" fontId="10" fillId="0" borderId="111" xfId="0" applyFont="1" applyBorder="1" applyAlignment="1" applyProtection="1">
      <alignment horizontal="left" vertical="center"/>
      <protection hidden="1"/>
    </xf>
    <xf numFmtId="3" fontId="9" fillId="0" borderId="109" xfId="0" applyNumberFormat="1" applyFont="1" applyBorder="1" applyAlignment="1" applyProtection="1">
      <alignment vertical="center"/>
      <protection hidden="1"/>
    </xf>
    <xf numFmtId="0" fontId="10" fillId="0" borderId="109" xfId="0" applyFont="1" applyBorder="1" applyAlignment="1" applyProtection="1">
      <alignment shrinkToFit="1"/>
      <protection hidden="1"/>
    </xf>
    <xf numFmtId="3" fontId="10" fillId="0" borderId="109" xfId="0" quotePrefix="1" applyNumberFormat="1" applyFont="1" applyBorder="1" applyAlignment="1">
      <alignment horizontal="right" vertical="center"/>
    </xf>
    <xf numFmtId="1" fontId="10" fillId="8" borderId="263" xfId="0" applyNumberFormat="1" applyFont="1" applyFill="1" applyBorder="1" applyAlignment="1" applyProtection="1">
      <alignment horizontal="center" vertical="center"/>
      <protection hidden="1"/>
    </xf>
    <xf numFmtId="167" fontId="10" fillId="8" borderId="263" xfId="0" applyNumberFormat="1" applyFont="1" applyFill="1" applyBorder="1" applyAlignment="1" applyProtection="1">
      <alignment horizontal="center" vertical="center"/>
      <protection hidden="1"/>
    </xf>
    <xf numFmtId="167" fontId="10" fillId="8" borderId="264" xfId="0" applyNumberFormat="1" applyFont="1" applyFill="1" applyBorder="1" applyAlignment="1" applyProtection="1">
      <alignment horizontal="center" vertical="center"/>
      <protection hidden="1"/>
    </xf>
    <xf numFmtId="1" fontId="10" fillId="8" borderId="266" xfId="0" applyNumberFormat="1" applyFont="1" applyFill="1" applyBorder="1" applyAlignment="1" applyProtection="1">
      <alignment horizontal="center" vertical="center"/>
      <protection hidden="1"/>
    </xf>
    <xf numFmtId="167" fontId="10" fillId="8" borderId="266" xfId="0" applyNumberFormat="1" applyFont="1" applyFill="1" applyBorder="1" applyAlignment="1" applyProtection="1">
      <alignment horizontal="center" vertical="center"/>
      <protection hidden="1"/>
    </xf>
    <xf numFmtId="167" fontId="10" fillId="8" borderId="267" xfId="0" applyNumberFormat="1" applyFont="1" applyFill="1" applyBorder="1" applyAlignment="1" applyProtection="1">
      <alignment horizontal="center" vertical="center"/>
      <protection hidden="1"/>
    </xf>
    <xf numFmtId="1" fontId="10" fillId="8" borderId="269" xfId="0" applyNumberFormat="1" applyFont="1" applyFill="1" applyBorder="1" applyAlignment="1" applyProtection="1">
      <alignment horizontal="center" vertical="center"/>
      <protection hidden="1"/>
    </xf>
    <xf numFmtId="167" fontId="10" fillId="8" borderId="269" xfId="0" applyNumberFormat="1" applyFont="1" applyFill="1" applyBorder="1" applyAlignment="1" applyProtection="1">
      <alignment horizontal="center" vertical="center"/>
      <protection hidden="1"/>
    </xf>
    <xf numFmtId="167" fontId="10" fillId="8" borderId="270" xfId="0" applyNumberFormat="1" applyFont="1" applyFill="1" applyBorder="1" applyAlignment="1" applyProtection="1">
      <alignment horizontal="center" vertical="center"/>
      <protection hidden="1"/>
    </xf>
    <xf numFmtId="1" fontId="10" fillId="8" borderId="272" xfId="0" applyNumberFormat="1" applyFont="1" applyFill="1" applyBorder="1" applyAlignment="1" applyProtection="1">
      <alignment horizontal="center" vertical="center"/>
      <protection hidden="1"/>
    </xf>
    <xf numFmtId="167" fontId="10" fillId="8" borderId="272" xfId="0" applyNumberFormat="1" applyFont="1" applyFill="1" applyBorder="1" applyAlignment="1" applyProtection="1">
      <alignment horizontal="center" vertical="center"/>
      <protection hidden="1"/>
    </xf>
    <xf numFmtId="167" fontId="10" fillId="8" borderId="273" xfId="0" applyNumberFormat="1" applyFont="1" applyFill="1" applyBorder="1" applyAlignment="1" applyProtection="1">
      <alignment horizontal="center" vertical="center"/>
      <protection hidden="1"/>
    </xf>
    <xf numFmtId="167" fontId="10" fillId="8" borderId="275" xfId="0" applyNumberFormat="1" applyFont="1" applyFill="1" applyBorder="1" applyAlignment="1" applyProtection="1">
      <alignment horizontal="center" vertical="center"/>
      <protection hidden="1"/>
    </xf>
    <xf numFmtId="167" fontId="10" fillId="8" borderId="276" xfId="0" applyNumberFormat="1" applyFont="1" applyFill="1" applyBorder="1" applyAlignment="1" applyProtection="1">
      <alignment horizontal="center" vertical="center"/>
      <protection hidden="1"/>
    </xf>
    <xf numFmtId="3" fontId="10" fillId="8" borderId="262" xfId="0" applyNumberFormat="1" applyFont="1" applyFill="1" applyBorder="1" applyAlignment="1" applyProtection="1">
      <alignment horizontal="center" vertical="center"/>
      <protection hidden="1"/>
    </xf>
    <xf numFmtId="3" fontId="10" fillId="8" borderId="265" xfId="0" applyNumberFormat="1" applyFont="1" applyFill="1" applyBorder="1" applyAlignment="1" applyProtection="1">
      <alignment horizontal="center" vertical="center"/>
      <protection hidden="1"/>
    </xf>
    <xf numFmtId="3" fontId="10" fillId="8" borderId="268" xfId="0" applyNumberFormat="1" applyFont="1" applyFill="1" applyBorder="1" applyAlignment="1" applyProtection="1">
      <alignment horizontal="center" vertical="center"/>
      <protection hidden="1"/>
    </xf>
    <xf numFmtId="3" fontId="10" fillId="8" borderId="244" xfId="0" applyNumberFormat="1" applyFont="1" applyFill="1" applyBorder="1" applyAlignment="1" applyProtection="1">
      <alignment horizontal="center" vertical="center"/>
      <protection hidden="1"/>
    </xf>
    <xf numFmtId="3" fontId="10" fillId="8" borderId="247" xfId="0" applyNumberFormat="1" applyFont="1" applyFill="1" applyBorder="1" applyAlignment="1" applyProtection="1">
      <alignment horizontal="center" vertical="center"/>
      <protection hidden="1"/>
    </xf>
    <xf numFmtId="3" fontId="10" fillId="8" borderId="250" xfId="0" applyNumberFormat="1" applyFont="1" applyFill="1" applyBorder="1" applyAlignment="1" applyProtection="1">
      <alignment horizontal="center" vertical="center"/>
      <protection hidden="1"/>
    </xf>
    <xf numFmtId="3" fontId="10" fillId="8" borderId="271" xfId="0" applyNumberFormat="1" applyFont="1" applyFill="1" applyBorder="1" applyAlignment="1" applyProtection="1">
      <alignment horizontal="center" vertical="center"/>
      <protection hidden="1"/>
    </xf>
    <xf numFmtId="3" fontId="10" fillId="8" borderId="274" xfId="0" applyNumberFormat="1" applyFont="1" applyFill="1" applyBorder="1" applyAlignment="1" applyProtection="1">
      <alignment horizontal="center" vertical="center"/>
      <protection hidden="1"/>
    </xf>
    <xf numFmtId="167" fontId="9" fillId="8" borderId="119" xfId="0" applyNumberFormat="1" applyFont="1" applyFill="1" applyBorder="1" applyAlignment="1" applyProtection="1">
      <alignment horizontal="center" vertical="center"/>
      <protection hidden="1"/>
    </xf>
    <xf numFmtId="3" fontId="10" fillId="8" borderId="278" xfId="0" applyNumberFormat="1" applyFont="1" applyFill="1" applyBorder="1" applyAlignment="1" applyProtection="1">
      <alignment horizontal="center" vertical="center"/>
      <protection hidden="1"/>
    </xf>
    <xf numFmtId="167" fontId="10" fillId="8" borderId="278" xfId="0" applyNumberFormat="1" applyFont="1" applyFill="1" applyBorder="1" applyAlignment="1" applyProtection="1">
      <alignment horizontal="center" vertical="center"/>
      <protection hidden="1"/>
    </xf>
    <xf numFmtId="167" fontId="10" fillId="8" borderId="279" xfId="0" applyNumberFormat="1" applyFont="1" applyFill="1" applyBorder="1" applyAlignment="1" applyProtection="1">
      <alignment horizontal="center" vertical="center"/>
      <protection hidden="1"/>
    </xf>
    <xf numFmtId="0" fontId="5" fillId="7" borderId="120" xfId="0" applyFont="1" applyFill="1" applyBorder="1" applyAlignment="1" applyProtection="1">
      <alignment horizontal="left" vertical="center" indent="1"/>
      <protection locked="0"/>
    </xf>
    <xf numFmtId="0" fontId="69" fillId="11" borderId="280" xfId="0" applyFont="1" applyFill="1" applyBorder="1" applyAlignment="1" applyProtection="1">
      <alignment horizontal="center" vertical="center"/>
      <protection hidden="1"/>
    </xf>
    <xf numFmtId="0" fontId="5" fillId="7" borderId="0" xfId="0" applyFont="1" applyFill="1" applyProtection="1">
      <protection locked="0"/>
    </xf>
    <xf numFmtId="0" fontId="5" fillId="7" borderId="0" xfId="0" applyFont="1" applyFill="1" applyAlignment="1" applyProtection="1">
      <alignment vertical="center"/>
      <protection locked="0"/>
    </xf>
    <xf numFmtId="0" fontId="2" fillId="0" borderId="0" xfId="0" applyFont="1" applyAlignment="1">
      <alignment horizontal="center" vertical="center"/>
    </xf>
    <xf numFmtId="0" fontId="0" fillId="7" borderId="0" xfId="0" applyFill="1" applyProtection="1">
      <protection locked="0"/>
    </xf>
    <xf numFmtId="164" fontId="5" fillId="7" borderId="0" xfId="0" applyNumberFormat="1" applyFont="1" applyFill="1" applyAlignment="1" applyProtection="1">
      <alignment vertical="center"/>
      <protection locked="0"/>
    </xf>
    <xf numFmtId="0" fontId="5" fillId="7" borderId="0" xfId="0" applyFont="1" applyFill="1" applyAlignment="1" applyProtection="1">
      <alignment horizontal="center" vertical="center"/>
      <protection locked="0"/>
    </xf>
    <xf numFmtId="0" fontId="10" fillId="0" borderId="111" xfId="0" applyFont="1" applyBorder="1" applyAlignment="1" applyProtection="1">
      <alignment horizontal="center"/>
      <protection hidden="1"/>
    </xf>
    <xf numFmtId="3" fontId="9" fillId="0" borderId="207" xfId="0" applyNumberFormat="1" applyFont="1" applyBorder="1" applyAlignment="1" applyProtection="1">
      <alignment horizontal="center" vertical="center"/>
      <protection hidden="1"/>
    </xf>
    <xf numFmtId="0" fontId="5" fillId="7" borderId="282" xfId="0" applyFont="1" applyFill="1" applyBorder="1" applyAlignment="1" applyProtection="1">
      <alignment vertical="center"/>
      <protection locked="0"/>
    </xf>
    <xf numFmtId="0" fontId="5" fillId="7" borderId="109" xfId="0" applyFont="1" applyFill="1" applyBorder="1" applyAlignment="1" applyProtection="1">
      <alignment vertical="center"/>
      <protection locked="0"/>
    </xf>
    <xf numFmtId="0" fontId="5" fillId="7" borderId="110" xfId="0" applyFont="1" applyFill="1" applyBorder="1" applyAlignment="1" applyProtection="1">
      <alignment vertical="center"/>
      <protection locked="0"/>
    </xf>
    <xf numFmtId="3" fontId="9" fillId="0" borderId="280" xfId="0" applyNumberFormat="1" applyFont="1" applyBorder="1" applyAlignment="1" applyProtection="1">
      <alignment horizontal="center" vertical="center"/>
      <protection hidden="1"/>
    </xf>
    <xf numFmtId="0" fontId="10" fillId="0" borderId="125" xfId="0" applyFont="1" applyBorder="1" applyAlignment="1" applyProtection="1">
      <alignment horizontal="center" vertical="center"/>
      <protection hidden="1"/>
    </xf>
    <xf numFmtId="167" fontId="10" fillId="0" borderId="117" xfId="0" applyNumberFormat="1" applyFont="1" applyBorder="1" applyAlignment="1" applyProtection="1">
      <alignment horizontal="center" vertical="center"/>
      <protection hidden="1"/>
    </xf>
    <xf numFmtId="0" fontId="70" fillId="11" borderId="280" xfId="0" applyFont="1" applyFill="1" applyBorder="1" applyAlignment="1" applyProtection="1">
      <alignment horizontal="center" vertical="center"/>
      <protection hidden="1"/>
    </xf>
    <xf numFmtId="0" fontId="70" fillId="11" borderId="133" xfId="0" applyFont="1" applyFill="1" applyBorder="1" applyAlignment="1" applyProtection="1">
      <alignment horizontal="center" vertical="center"/>
      <protection hidden="1"/>
    </xf>
    <xf numFmtId="49" fontId="70" fillId="11" borderId="133" xfId="0" applyNumberFormat="1" applyFont="1" applyFill="1" applyBorder="1" applyAlignment="1" applyProtection="1">
      <alignment horizontal="center" vertical="center"/>
      <protection hidden="1"/>
    </xf>
    <xf numFmtId="0" fontId="65" fillId="11" borderId="107" xfId="0" applyFont="1" applyFill="1" applyBorder="1" applyAlignment="1" applyProtection="1">
      <alignment horizontal="left" vertical="center" indent="1"/>
      <protection hidden="1"/>
    </xf>
    <xf numFmtId="0" fontId="65" fillId="11" borderId="0" xfId="0" applyFont="1" applyFill="1" applyAlignment="1" applyProtection="1">
      <alignment horizontal="left" vertical="center" indent="1"/>
      <protection hidden="1"/>
    </xf>
    <xf numFmtId="0" fontId="65" fillId="11" borderId="109" xfId="0" applyFont="1" applyFill="1" applyBorder="1" applyAlignment="1">
      <alignment horizontal="left" vertical="center" indent="1"/>
    </xf>
    <xf numFmtId="49" fontId="71" fillId="11" borderId="109" xfId="0" applyNumberFormat="1" applyFont="1" applyFill="1" applyBorder="1" applyAlignment="1" applyProtection="1">
      <alignment horizontal="center"/>
      <protection hidden="1"/>
    </xf>
    <xf numFmtId="0" fontId="71" fillId="11" borderId="109" xfId="0" applyFont="1" applyFill="1" applyBorder="1" applyAlignment="1" applyProtection="1">
      <alignment horizontal="center"/>
      <protection hidden="1"/>
    </xf>
    <xf numFmtId="49" fontId="71" fillId="11" borderId="281" xfId="0" applyNumberFormat="1" applyFont="1" applyFill="1" applyBorder="1" applyAlignment="1" applyProtection="1">
      <alignment horizontal="center"/>
      <protection hidden="1"/>
    </xf>
    <xf numFmtId="0" fontId="71" fillId="11" borderId="119" xfId="0" applyFont="1" applyFill="1" applyBorder="1" applyAlignment="1" applyProtection="1">
      <alignment horizontal="center"/>
      <protection hidden="1"/>
    </xf>
    <xf numFmtId="167" fontId="9" fillId="0" borderId="146" xfId="0" applyNumberFormat="1" applyFont="1" applyBorder="1" applyAlignment="1" applyProtection="1">
      <alignment vertical="center"/>
      <protection hidden="1"/>
    </xf>
    <xf numFmtId="1" fontId="9" fillId="0" borderId="146" xfId="0" applyNumberFormat="1" applyFont="1" applyBorder="1" applyAlignment="1" applyProtection="1">
      <alignment horizontal="center" vertical="center"/>
      <protection hidden="1"/>
    </xf>
    <xf numFmtId="167" fontId="9" fillId="8" borderId="146" xfId="0" applyNumberFormat="1" applyFont="1" applyFill="1" applyBorder="1" applyAlignment="1" applyProtection="1">
      <alignment vertical="center"/>
      <protection hidden="1"/>
    </xf>
    <xf numFmtId="1" fontId="9" fillId="8" borderId="283" xfId="0" applyNumberFormat="1" applyFont="1" applyFill="1" applyBorder="1" applyAlignment="1" applyProtection="1">
      <alignment horizontal="center" vertical="center"/>
      <protection hidden="1"/>
    </xf>
    <xf numFmtId="3" fontId="2" fillId="0" borderId="285" xfId="0" applyNumberFormat="1" applyFont="1" applyBorder="1" applyAlignment="1" applyProtection="1">
      <alignment horizontal="center" vertical="center"/>
      <protection hidden="1"/>
    </xf>
    <xf numFmtId="3" fontId="2" fillId="0" borderId="125" xfId="0" applyNumberFormat="1" applyFont="1" applyBorder="1" applyAlignment="1" applyProtection="1">
      <alignment horizontal="center" vertical="center"/>
      <protection hidden="1"/>
    </xf>
    <xf numFmtId="0" fontId="5" fillId="6" borderId="120" xfId="0" applyFont="1" applyFill="1" applyBorder="1" applyAlignment="1" applyProtection="1">
      <alignment horizontal="center" vertical="center"/>
      <protection hidden="1"/>
    </xf>
    <xf numFmtId="0" fontId="9" fillId="6" borderId="136" xfId="0" applyFont="1" applyFill="1" applyBorder="1" applyAlignment="1" applyProtection="1">
      <alignment horizontal="center" vertical="center"/>
      <protection hidden="1"/>
    </xf>
    <xf numFmtId="49" fontId="71" fillId="11" borderId="119" xfId="0" applyNumberFormat="1" applyFont="1" applyFill="1" applyBorder="1" applyAlignment="1" applyProtection="1">
      <alignment horizontal="center"/>
      <protection hidden="1"/>
    </xf>
    <xf numFmtId="0" fontId="54" fillId="11" borderId="137" xfId="0" applyFont="1" applyFill="1" applyBorder="1" applyAlignment="1" applyProtection="1">
      <alignment horizontal="left" vertical="center" indent="1"/>
      <protection hidden="1"/>
    </xf>
    <xf numFmtId="0" fontId="69" fillId="11" borderId="287" xfId="0" applyFont="1" applyFill="1" applyBorder="1" applyAlignment="1" applyProtection="1">
      <alignment horizontal="left" vertical="center" indent="1"/>
      <protection hidden="1"/>
    </xf>
    <xf numFmtId="0" fontId="69" fillId="11" borderId="137" xfId="0" applyFont="1" applyFill="1" applyBorder="1" applyAlignment="1" applyProtection="1">
      <alignment horizontal="left" vertical="center" indent="1"/>
      <protection hidden="1"/>
    </xf>
    <xf numFmtId="0" fontId="54" fillId="11" borderId="109" xfId="0" applyFont="1" applyFill="1" applyBorder="1" applyAlignment="1">
      <alignment vertical="center"/>
    </xf>
    <xf numFmtId="0" fontId="9" fillId="0" borderId="290" xfId="0" applyFont="1" applyBorder="1" applyAlignment="1" applyProtection="1">
      <alignment horizontal="center"/>
      <protection hidden="1"/>
    </xf>
    <xf numFmtId="0" fontId="9" fillId="0" borderId="137" xfId="0" applyFont="1" applyBorder="1" applyAlignment="1" applyProtection="1">
      <alignment horizontal="left"/>
      <protection hidden="1"/>
    </xf>
    <xf numFmtId="0" fontId="9" fillId="0" borderId="137" xfId="0" applyFont="1" applyBorder="1" applyAlignment="1" applyProtection="1">
      <alignment horizontal="right"/>
      <protection hidden="1"/>
    </xf>
    <xf numFmtId="0" fontId="10" fillId="0" borderId="290" xfId="0" applyFont="1" applyBorder="1" applyAlignment="1" applyProtection="1">
      <alignment horizontal="center"/>
      <protection hidden="1"/>
    </xf>
    <xf numFmtId="0" fontId="9" fillId="0" borderId="300" xfId="0" applyFont="1" applyBorder="1" applyAlignment="1" applyProtection="1">
      <alignment horizontal="left" vertical="center"/>
      <protection hidden="1"/>
    </xf>
    <xf numFmtId="0" fontId="9" fillId="0" borderId="301" xfId="0" applyFont="1" applyBorder="1" applyAlignment="1" applyProtection="1">
      <alignment vertical="center"/>
      <protection hidden="1"/>
    </xf>
    <xf numFmtId="0" fontId="9" fillId="0" borderId="107" xfId="0" applyFont="1" applyBorder="1" applyAlignment="1" applyProtection="1">
      <alignment vertical="center"/>
      <protection hidden="1"/>
    </xf>
    <xf numFmtId="0" fontId="10" fillId="0" borderId="107" xfId="0" applyFont="1" applyBorder="1" applyAlignment="1" applyProtection="1">
      <alignment vertical="center"/>
      <protection hidden="1"/>
    </xf>
    <xf numFmtId="0" fontId="10" fillId="0" borderId="107" xfId="0" applyFont="1" applyBorder="1" applyProtection="1">
      <protection hidden="1"/>
    </xf>
    <xf numFmtId="0" fontId="9" fillId="0" borderId="109" xfId="0" applyFont="1" applyBorder="1" applyAlignment="1" applyProtection="1">
      <alignment horizontal="right" vertical="center"/>
      <protection hidden="1"/>
    </xf>
    <xf numFmtId="0" fontId="9" fillId="0" borderId="259" xfId="0" applyFont="1" applyBorder="1" applyAlignment="1" applyProtection="1">
      <alignment horizontal="left" vertical="center"/>
      <protection hidden="1"/>
    </xf>
    <xf numFmtId="0" fontId="9" fillId="0" borderId="109" xfId="0" applyFont="1" applyBorder="1" applyAlignment="1" applyProtection="1">
      <alignment vertical="center"/>
      <protection hidden="1"/>
    </xf>
    <xf numFmtId="14" fontId="4" fillId="0" borderId="0" xfId="0" applyNumberFormat="1" applyFont="1" applyAlignment="1" applyProtection="1">
      <alignment horizontal="left"/>
      <protection hidden="1"/>
    </xf>
    <xf numFmtId="17" fontId="26" fillId="0" borderId="46" xfId="0" applyNumberFormat="1" applyFont="1" applyBorder="1" applyAlignment="1">
      <alignment horizontal="center" vertical="center"/>
    </xf>
    <xf numFmtId="3" fontId="9" fillId="8" borderId="281" xfId="0" applyNumberFormat="1" applyFont="1" applyFill="1" applyBorder="1" applyAlignment="1" applyProtection="1">
      <alignment horizontal="center" vertical="center"/>
      <protection hidden="1"/>
    </xf>
    <xf numFmtId="3" fontId="10" fillId="8" borderId="277" xfId="0" applyNumberFormat="1" applyFont="1" applyFill="1" applyBorder="1" applyAlignment="1" applyProtection="1">
      <alignment horizontal="center" vertical="center"/>
      <protection hidden="1"/>
    </xf>
    <xf numFmtId="0" fontId="71" fillId="11" borderId="306" xfId="0" applyFont="1" applyFill="1" applyBorder="1" applyAlignment="1">
      <alignment horizontal="center" vertical="center"/>
    </xf>
    <xf numFmtId="0" fontId="71" fillId="11" borderId="307" xfId="0" applyFont="1" applyFill="1" applyBorder="1" applyAlignment="1">
      <alignment horizontal="center" vertical="center"/>
    </xf>
    <xf numFmtId="3" fontId="10" fillId="8" borderId="310" xfId="0" applyNumberFormat="1" applyFont="1" applyFill="1" applyBorder="1" applyAlignment="1" applyProtection="1">
      <alignment horizontal="center" vertical="center"/>
      <protection hidden="1"/>
    </xf>
    <xf numFmtId="167" fontId="10" fillId="8" borderId="311" xfId="0" applyNumberFormat="1" applyFont="1" applyFill="1" applyBorder="1" applyAlignment="1" applyProtection="1">
      <alignment horizontal="center" vertical="center"/>
      <protection hidden="1"/>
    </xf>
    <xf numFmtId="3" fontId="10" fillId="8" borderId="312" xfId="0" applyNumberFormat="1" applyFont="1" applyFill="1" applyBorder="1" applyAlignment="1" applyProtection="1">
      <alignment horizontal="center" vertical="center"/>
      <protection hidden="1"/>
    </xf>
    <xf numFmtId="167" fontId="10" fillId="8" borderId="313" xfId="0" applyNumberFormat="1" applyFont="1" applyFill="1" applyBorder="1" applyAlignment="1" applyProtection="1">
      <alignment horizontal="center" vertical="center"/>
      <protection hidden="1"/>
    </xf>
    <xf numFmtId="0" fontId="71" fillId="11" borderId="314" xfId="0" applyFont="1" applyFill="1" applyBorder="1" applyAlignment="1">
      <alignment horizontal="center" vertical="center"/>
    </xf>
    <xf numFmtId="0" fontId="71" fillId="11" borderId="315" xfId="0" applyFont="1" applyFill="1" applyBorder="1" applyAlignment="1">
      <alignment horizontal="center" vertical="center"/>
    </xf>
    <xf numFmtId="3" fontId="10" fillId="8" borderId="316" xfId="0" applyNumberFormat="1" applyFont="1" applyFill="1" applyBorder="1" applyAlignment="1" applyProtection="1">
      <alignment horizontal="center" vertical="center"/>
      <protection hidden="1"/>
    </xf>
    <xf numFmtId="167" fontId="10" fillId="8" borderId="317" xfId="0" applyNumberFormat="1" applyFont="1" applyFill="1" applyBorder="1" applyAlignment="1" applyProtection="1">
      <alignment horizontal="center" vertical="center"/>
      <protection hidden="1"/>
    </xf>
    <xf numFmtId="3" fontId="10" fillId="8" borderId="318" xfId="0" applyNumberFormat="1" applyFont="1" applyFill="1" applyBorder="1" applyAlignment="1" applyProtection="1">
      <alignment horizontal="center" vertical="center"/>
      <protection hidden="1"/>
    </xf>
    <xf numFmtId="167" fontId="10" fillId="8" borderId="319" xfId="0" applyNumberFormat="1" applyFont="1" applyFill="1" applyBorder="1" applyAlignment="1" applyProtection="1">
      <alignment horizontal="center" vertical="center"/>
      <protection hidden="1"/>
    </xf>
    <xf numFmtId="3" fontId="10" fillId="8" borderId="320" xfId="0" applyNumberFormat="1" applyFont="1" applyFill="1" applyBorder="1" applyAlignment="1" applyProtection="1">
      <alignment horizontal="center" vertical="center"/>
      <protection hidden="1"/>
    </xf>
    <xf numFmtId="167" fontId="10" fillId="8" borderId="321" xfId="0" applyNumberFormat="1" applyFont="1" applyFill="1" applyBorder="1" applyAlignment="1" applyProtection="1">
      <alignment horizontal="center" vertical="center"/>
      <protection hidden="1"/>
    </xf>
    <xf numFmtId="3" fontId="10" fillId="8" borderId="322" xfId="0" applyNumberFormat="1" applyFont="1" applyFill="1" applyBorder="1" applyAlignment="1" applyProtection="1">
      <alignment horizontal="center" vertical="center"/>
      <protection hidden="1"/>
    </xf>
    <xf numFmtId="167" fontId="10" fillId="8" borderId="323" xfId="0" applyNumberFormat="1" applyFont="1" applyFill="1" applyBorder="1" applyAlignment="1" applyProtection="1">
      <alignment horizontal="center" vertical="center"/>
      <protection hidden="1"/>
    </xf>
    <xf numFmtId="3" fontId="10" fillId="8" borderId="324" xfId="0" applyNumberFormat="1" applyFont="1" applyFill="1" applyBorder="1" applyAlignment="1" applyProtection="1">
      <alignment horizontal="center" vertical="center"/>
      <protection hidden="1"/>
    </xf>
    <xf numFmtId="167" fontId="10" fillId="8" borderId="325" xfId="0" applyNumberFormat="1" applyFont="1" applyFill="1" applyBorder="1" applyAlignment="1" applyProtection="1">
      <alignment horizontal="center" vertical="center"/>
      <protection hidden="1"/>
    </xf>
    <xf numFmtId="167" fontId="10" fillId="8" borderId="326" xfId="0" applyNumberFormat="1" applyFont="1" applyFill="1" applyBorder="1" applyAlignment="1" applyProtection="1">
      <alignment horizontal="center" vertical="center"/>
      <protection hidden="1"/>
    </xf>
    <xf numFmtId="3" fontId="9" fillId="8" borderId="327" xfId="0" applyNumberFormat="1" applyFont="1" applyFill="1" applyBorder="1" applyAlignment="1" applyProtection="1">
      <alignment horizontal="center" vertical="center"/>
      <protection hidden="1"/>
    </xf>
    <xf numFmtId="167" fontId="9" fillId="8" borderId="328" xfId="0" applyNumberFormat="1" applyFont="1" applyFill="1" applyBorder="1" applyAlignment="1" applyProtection="1">
      <alignment horizontal="center" vertical="center"/>
      <protection hidden="1"/>
    </xf>
    <xf numFmtId="3" fontId="9" fillId="0" borderId="306" xfId="0" applyNumberFormat="1" applyFont="1" applyBorder="1" applyAlignment="1" applyProtection="1">
      <alignment horizontal="center" vertical="center"/>
      <protection hidden="1"/>
    </xf>
    <xf numFmtId="167" fontId="9" fillId="0" borderId="307" xfId="0" applyNumberFormat="1" applyFont="1" applyBorder="1" applyAlignment="1" applyProtection="1">
      <alignment horizontal="center" vertical="center"/>
      <protection hidden="1"/>
    </xf>
    <xf numFmtId="3" fontId="10" fillId="8" borderId="329" xfId="0" applyNumberFormat="1" applyFont="1" applyFill="1" applyBorder="1" applyAlignment="1" applyProtection="1">
      <alignment horizontal="center" vertical="center"/>
      <protection hidden="1"/>
    </xf>
    <xf numFmtId="167" fontId="10" fillId="8" borderId="330" xfId="0" applyNumberFormat="1" applyFont="1" applyFill="1" applyBorder="1" applyAlignment="1" applyProtection="1">
      <alignment horizontal="center" vertical="center"/>
      <protection hidden="1"/>
    </xf>
    <xf numFmtId="3" fontId="10" fillId="8" borderId="331" xfId="0" applyNumberFormat="1" applyFont="1" applyFill="1" applyBorder="1" applyAlignment="1" applyProtection="1">
      <alignment horizontal="center" vertical="center"/>
      <protection hidden="1"/>
    </xf>
    <xf numFmtId="167" fontId="9" fillId="8" borderId="120" xfId="0" applyNumberFormat="1" applyFont="1" applyFill="1" applyBorder="1" applyAlignment="1" applyProtection="1">
      <alignment horizontal="center" vertical="center"/>
      <protection hidden="1"/>
    </xf>
    <xf numFmtId="0" fontId="71" fillId="11" borderId="118" xfId="0" applyFont="1" applyFill="1" applyBorder="1" applyAlignment="1">
      <alignment horizontal="center" vertical="center"/>
    </xf>
    <xf numFmtId="0" fontId="71" fillId="11" borderId="121" xfId="0" applyFont="1" applyFill="1" applyBorder="1" applyAlignment="1">
      <alignment horizontal="center" vertical="center"/>
    </xf>
    <xf numFmtId="3" fontId="10" fillId="8" borderId="336" xfId="0" applyNumberFormat="1" applyFont="1" applyFill="1" applyBorder="1" applyAlignment="1" applyProtection="1">
      <alignment horizontal="center" vertical="center"/>
      <protection hidden="1"/>
    </xf>
    <xf numFmtId="167" fontId="10" fillId="8" borderId="337" xfId="0" applyNumberFormat="1" applyFont="1" applyFill="1" applyBorder="1" applyAlignment="1" applyProtection="1">
      <alignment horizontal="center" vertical="center"/>
      <protection hidden="1"/>
    </xf>
    <xf numFmtId="3" fontId="10" fillId="8" borderId="338" xfId="0" applyNumberFormat="1" applyFont="1" applyFill="1" applyBorder="1" applyAlignment="1" applyProtection="1">
      <alignment horizontal="center" vertical="center"/>
      <protection hidden="1"/>
    </xf>
    <xf numFmtId="167" fontId="10" fillId="8" borderId="339" xfId="0" applyNumberFormat="1" applyFont="1" applyFill="1" applyBorder="1" applyAlignment="1" applyProtection="1">
      <alignment horizontal="center" vertical="center"/>
      <protection hidden="1"/>
    </xf>
    <xf numFmtId="0" fontId="71" fillId="11" borderId="340" xfId="0" applyFont="1" applyFill="1" applyBorder="1" applyAlignment="1">
      <alignment horizontal="center" vertical="center"/>
    </xf>
    <xf numFmtId="0" fontId="71" fillId="11" borderId="341" xfId="0" applyFont="1" applyFill="1" applyBorder="1" applyAlignment="1">
      <alignment horizontal="center" vertical="center"/>
    </xf>
    <xf numFmtId="3" fontId="10" fillId="8" borderId="342" xfId="0" applyNumberFormat="1" applyFont="1" applyFill="1" applyBorder="1" applyAlignment="1" applyProtection="1">
      <alignment horizontal="center" vertical="center"/>
      <protection hidden="1"/>
    </xf>
    <xf numFmtId="167" fontId="10" fillId="8" borderId="343" xfId="0" applyNumberFormat="1" applyFont="1" applyFill="1" applyBorder="1" applyAlignment="1" applyProtection="1">
      <alignment horizontal="center" vertical="center"/>
      <protection hidden="1"/>
    </xf>
    <xf numFmtId="3" fontId="10" fillId="8" borderId="344" xfId="0" applyNumberFormat="1" applyFont="1" applyFill="1" applyBorder="1" applyAlignment="1" applyProtection="1">
      <alignment horizontal="center" vertical="center"/>
      <protection hidden="1"/>
    </xf>
    <xf numFmtId="167" fontId="10" fillId="8" borderId="345" xfId="0" applyNumberFormat="1" applyFont="1" applyFill="1" applyBorder="1" applyAlignment="1" applyProtection="1">
      <alignment horizontal="center" vertical="center"/>
      <protection hidden="1"/>
    </xf>
    <xf numFmtId="3" fontId="10" fillId="8" borderId="346" xfId="0" applyNumberFormat="1" applyFont="1" applyFill="1" applyBorder="1" applyAlignment="1" applyProtection="1">
      <alignment horizontal="center" vertical="center"/>
      <protection hidden="1"/>
    </xf>
    <xf numFmtId="167" fontId="10" fillId="8" borderId="347" xfId="0" applyNumberFormat="1" applyFont="1" applyFill="1" applyBorder="1" applyAlignment="1" applyProtection="1">
      <alignment horizontal="center" vertical="center"/>
      <protection hidden="1"/>
    </xf>
    <xf numFmtId="3" fontId="10" fillId="8" borderId="348" xfId="0" applyNumberFormat="1" applyFont="1" applyFill="1" applyBorder="1" applyAlignment="1" applyProtection="1">
      <alignment horizontal="center" vertical="center"/>
      <protection hidden="1"/>
    </xf>
    <xf numFmtId="167" fontId="10" fillId="8" borderId="349" xfId="0" applyNumberFormat="1" applyFont="1" applyFill="1" applyBorder="1" applyAlignment="1" applyProtection="1">
      <alignment horizontal="center" vertical="center"/>
      <protection hidden="1"/>
    </xf>
    <xf numFmtId="3" fontId="10" fillId="8" borderId="350" xfId="0" applyNumberFormat="1" applyFont="1" applyFill="1" applyBorder="1" applyAlignment="1" applyProtection="1">
      <alignment horizontal="center" vertical="center"/>
      <protection hidden="1"/>
    </xf>
    <xf numFmtId="167" fontId="10" fillId="8" borderId="351" xfId="0" applyNumberFormat="1" applyFont="1" applyFill="1" applyBorder="1" applyAlignment="1" applyProtection="1">
      <alignment horizontal="center" vertical="center"/>
      <protection hidden="1"/>
    </xf>
    <xf numFmtId="3" fontId="10" fillId="8" borderId="352" xfId="0" applyNumberFormat="1" applyFont="1" applyFill="1" applyBorder="1" applyAlignment="1" applyProtection="1">
      <alignment horizontal="center" vertical="center"/>
      <protection hidden="1"/>
    </xf>
    <xf numFmtId="167" fontId="10" fillId="8" borderId="353" xfId="0" applyNumberFormat="1" applyFont="1" applyFill="1" applyBorder="1" applyAlignment="1" applyProtection="1">
      <alignment horizontal="center" vertical="center"/>
      <protection hidden="1"/>
    </xf>
    <xf numFmtId="3" fontId="9" fillId="8" borderId="130" xfId="0" applyNumberFormat="1" applyFont="1" applyFill="1" applyBorder="1" applyAlignment="1" applyProtection="1">
      <alignment horizontal="center" vertical="center"/>
      <protection hidden="1"/>
    </xf>
    <xf numFmtId="167" fontId="9" fillId="8" borderId="131" xfId="0" applyNumberFormat="1" applyFont="1" applyFill="1" applyBorder="1" applyAlignment="1" applyProtection="1">
      <alignment horizontal="center" vertical="center"/>
      <protection hidden="1"/>
    </xf>
    <xf numFmtId="3" fontId="9" fillId="0" borderId="118" xfId="0" applyNumberFormat="1" applyFont="1" applyBorder="1" applyAlignment="1" applyProtection="1">
      <alignment horizontal="center" vertical="center"/>
      <protection hidden="1"/>
    </xf>
    <xf numFmtId="167" fontId="9" fillId="0" borderId="121" xfId="0" applyNumberFormat="1" applyFont="1" applyBorder="1" applyAlignment="1" applyProtection="1">
      <alignment horizontal="center" vertical="center"/>
      <protection hidden="1"/>
    </xf>
    <xf numFmtId="3" fontId="10" fillId="8" borderId="354" xfId="0" applyNumberFormat="1" applyFont="1" applyFill="1" applyBorder="1" applyAlignment="1" applyProtection="1">
      <alignment horizontal="center" vertical="center"/>
      <protection hidden="1"/>
    </xf>
    <xf numFmtId="167" fontId="10" fillId="8" borderId="355" xfId="0" applyNumberFormat="1" applyFont="1" applyFill="1" applyBorder="1" applyAlignment="1" applyProtection="1">
      <alignment horizontal="center" vertical="center"/>
      <protection hidden="1"/>
    </xf>
    <xf numFmtId="166" fontId="10" fillId="8" borderId="311" xfId="0" applyNumberFormat="1" applyFont="1" applyFill="1" applyBorder="1" applyAlignment="1" applyProtection="1">
      <alignment horizontal="center" vertical="center"/>
      <protection hidden="1"/>
    </xf>
    <xf numFmtId="166" fontId="10" fillId="8" borderId="313" xfId="0" applyNumberFormat="1" applyFont="1" applyFill="1" applyBorder="1" applyAlignment="1" applyProtection="1">
      <alignment horizontal="center" vertical="center"/>
      <protection hidden="1"/>
    </xf>
    <xf numFmtId="0" fontId="73" fillId="11" borderId="306" xfId="0" applyFont="1" applyFill="1" applyBorder="1" applyAlignment="1" applyProtection="1">
      <alignment horizontal="center" vertical="center" wrapText="1"/>
      <protection hidden="1"/>
    </xf>
    <xf numFmtId="166" fontId="69" fillId="11" borderId="307" xfId="0" applyNumberFormat="1" applyFont="1" applyFill="1" applyBorder="1" applyAlignment="1" applyProtection="1">
      <alignment horizontal="center" vertical="center"/>
      <protection hidden="1"/>
    </xf>
    <xf numFmtId="166" fontId="10" fillId="8" borderId="317" xfId="0" applyNumberFormat="1" applyFont="1" applyFill="1" applyBorder="1" applyAlignment="1" applyProtection="1">
      <alignment horizontal="center" vertical="center"/>
      <protection hidden="1"/>
    </xf>
    <xf numFmtId="166" fontId="10" fillId="8" borderId="319" xfId="0" applyNumberFormat="1" applyFont="1" applyFill="1" applyBorder="1" applyAlignment="1" applyProtection="1">
      <alignment horizontal="center" vertical="center"/>
      <protection hidden="1"/>
    </xf>
    <xf numFmtId="166" fontId="10" fillId="8" borderId="321" xfId="0" applyNumberFormat="1" applyFont="1" applyFill="1" applyBorder="1" applyAlignment="1" applyProtection="1">
      <alignment horizontal="center" vertical="center"/>
      <protection hidden="1"/>
    </xf>
    <xf numFmtId="166" fontId="10" fillId="8" borderId="323" xfId="0" applyNumberFormat="1" applyFont="1" applyFill="1" applyBorder="1" applyAlignment="1" applyProtection="1">
      <alignment horizontal="center" vertical="center"/>
      <protection hidden="1"/>
    </xf>
    <xf numFmtId="166" fontId="10" fillId="8" borderId="325" xfId="0" applyNumberFormat="1" applyFont="1" applyFill="1" applyBorder="1" applyAlignment="1" applyProtection="1">
      <alignment horizontal="center" vertical="center"/>
      <protection hidden="1"/>
    </xf>
    <xf numFmtId="166" fontId="10" fillId="8" borderId="326" xfId="0" applyNumberFormat="1" applyFont="1" applyFill="1" applyBorder="1" applyAlignment="1" applyProtection="1">
      <alignment horizontal="center" vertical="center"/>
      <protection hidden="1"/>
    </xf>
    <xf numFmtId="166" fontId="9" fillId="0" borderId="307" xfId="0" applyNumberFormat="1" applyFont="1" applyBorder="1" applyAlignment="1" applyProtection="1">
      <alignment horizontal="center" vertical="center"/>
      <protection hidden="1"/>
    </xf>
    <xf numFmtId="166" fontId="10" fillId="8" borderId="330" xfId="0" applyNumberFormat="1" applyFont="1" applyFill="1" applyBorder="1" applyAlignment="1" applyProtection="1">
      <alignment horizontal="center" vertical="center"/>
      <protection hidden="1"/>
    </xf>
    <xf numFmtId="164" fontId="9" fillId="6" borderId="328" xfId="0" applyNumberFormat="1" applyFont="1" applyFill="1" applyBorder="1" applyAlignment="1" applyProtection="1">
      <alignment horizontal="center" vertical="center"/>
      <protection hidden="1"/>
    </xf>
    <xf numFmtId="166" fontId="9" fillId="8" borderId="131" xfId="0" applyNumberFormat="1" applyFont="1" applyFill="1" applyBorder="1" applyAlignment="1" applyProtection="1">
      <alignment horizontal="center" vertical="center"/>
      <protection hidden="1"/>
    </xf>
    <xf numFmtId="0" fontId="9" fillId="0" borderId="118" xfId="0" applyFont="1" applyBorder="1" applyAlignment="1" applyProtection="1">
      <alignment horizontal="center" vertical="center" shrinkToFit="1"/>
      <protection hidden="1"/>
    </xf>
    <xf numFmtId="167" fontId="9" fillId="0" borderId="121" xfId="0" applyNumberFormat="1" applyFont="1" applyBorder="1" applyAlignment="1" applyProtection="1">
      <alignment horizontal="center" vertical="center" shrinkToFit="1"/>
      <protection hidden="1"/>
    </xf>
    <xf numFmtId="166" fontId="9" fillId="8" borderId="120" xfId="0" applyNumberFormat="1" applyFont="1" applyFill="1" applyBorder="1" applyAlignment="1" applyProtection="1">
      <alignment horizontal="center" vertical="center"/>
      <protection hidden="1"/>
    </xf>
    <xf numFmtId="172" fontId="9" fillId="8" borderId="360" xfId="0" applyNumberFormat="1" applyFont="1" applyFill="1" applyBorder="1" applyAlignment="1" applyProtection="1">
      <alignment horizontal="center" vertical="center"/>
      <protection hidden="1"/>
    </xf>
    <xf numFmtId="3" fontId="9" fillId="12" borderId="119" xfId="0" applyNumberFormat="1" applyFont="1" applyFill="1" applyBorder="1" applyAlignment="1" applyProtection="1">
      <alignment horizontal="center" vertical="center"/>
      <protection hidden="1"/>
    </xf>
    <xf numFmtId="1" fontId="9" fillId="6" borderId="136" xfId="0" applyNumberFormat="1" applyFont="1" applyFill="1" applyBorder="1" applyAlignment="1" applyProtection="1">
      <alignment horizontal="center" vertical="center"/>
      <protection hidden="1"/>
    </xf>
    <xf numFmtId="3" fontId="9" fillId="6" borderId="132" xfId="0" applyNumberFormat="1" applyFont="1" applyFill="1" applyBorder="1" applyAlignment="1" applyProtection="1">
      <alignment horizontal="center" vertical="center"/>
      <protection hidden="1"/>
    </xf>
    <xf numFmtId="1" fontId="9" fillId="6" borderId="119" xfId="0" applyNumberFormat="1" applyFont="1" applyFill="1" applyBorder="1" applyAlignment="1" applyProtection="1">
      <alignment horizontal="center" vertical="center"/>
      <protection hidden="1"/>
    </xf>
    <xf numFmtId="3" fontId="10" fillId="6" borderId="132" xfId="0" applyNumberFormat="1" applyFont="1" applyFill="1" applyBorder="1" applyAlignment="1" applyProtection="1">
      <alignment horizontal="center" vertical="center"/>
      <protection hidden="1"/>
    </xf>
    <xf numFmtId="1" fontId="10" fillId="6" borderId="119" xfId="0" applyNumberFormat="1" applyFont="1" applyFill="1" applyBorder="1" applyAlignment="1" applyProtection="1">
      <alignment horizontal="center" vertical="center"/>
      <protection hidden="1"/>
    </xf>
    <xf numFmtId="164" fontId="10" fillId="6" borderId="120" xfId="0" applyNumberFormat="1" applyFont="1" applyFill="1" applyBorder="1" applyAlignment="1" applyProtection="1">
      <alignment horizontal="center" vertical="center"/>
      <protection hidden="1"/>
    </xf>
    <xf numFmtId="3" fontId="10" fillId="6" borderId="130" xfId="0" applyNumberFormat="1" applyFont="1" applyFill="1" applyBorder="1" applyAlignment="1" applyProtection="1">
      <alignment horizontal="center" vertical="center"/>
      <protection hidden="1"/>
    </xf>
    <xf numFmtId="3" fontId="9" fillId="6" borderId="130" xfId="0" applyNumberFormat="1" applyFont="1" applyFill="1" applyBorder="1" applyAlignment="1" applyProtection="1">
      <alignment horizontal="center" vertical="center"/>
      <protection hidden="1"/>
    </xf>
    <xf numFmtId="3" fontId="9" fillId="0" borderId="284" xfId="0" applyNumberFormat="1" applyFont="1" applyBorder="1" applyAlignment="1" applyProtection="1">
      <alignment horizontal="center" vertical="center"/>
      <protection hidden="1"/>
    </xf>
    <xf numFmtId="3" fontId="9" fillId="0" borderId="130" xfId="0" applyNumberFormat="1" applyFont="1" applyBorder="1" applyAlignment="1" applyProtection="1">
      <alignment horizontal="center" vertical="center"/>
      <protection hidden="1"/>
    </xf>
    <xf numFmtId="3" fontId="10" fillId="0" borderId="132" xfId="0" applyNumberFormat="1" applyFont="1" applyBorder="1" applyAlignment="1" applyProtection="1">
      <alignment horizontal="center" vertical="center"/>
      <protection hidden="1"/>
    </xf>
    <xf numFmtId="3" fontId="9" fillId="0" borderId="132" xfId="0" applyNumberFormat="1" applyFont="1" applyBorder="1" applyAlignment="1" applyProtection="1">
      <alignment horizontal="center" vertical="center"/>
      <protection hidden="1"/>
    </xf>
    <xf numFmtId="3" fontId="10" fillId="0" borderId="20" xfId="0" applyNumberFormat="1" applyFont="1" applyBorder="1" applyAlignment="1" applyProtection="1">
      <alignment horizontal="right" vertical="center"/>
      <protection hidden="1"/>
    </xf>
    <xf numFmtId="0" fontId="0" fillId="0" borderId="18" xfId="0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1" fontId="4" fillId="0" borderId="19" xfId="0" applyNumberFormat="1" applyFont="1" applyBorder="1" applyAlignment="1">
      <alignment horizontal="center"/>
    </xf>
    <xf numFmtId="1" fontId="4" fillId="0" borderId="8" xfId="0" applyNumberFormat="1" applyFont="1" applyBorder="1" applyAlignment="1">
      <alignment horizontal="center"/>
    </xf>
    <xf numFmtId="0" fontId="0" fillId="0" borderId="24" xfId="0" applyBorder="1"/>
    <xf numFmtId="166" fontId="0" fillId="0" borderId="17" xfId="0" applyNumberFormat="1" applyBorder="1"/>
    <xf numFmtId="0" fontId="0" fillId="0" borderId="59" xfId="0" applyBorder="1"/>
    <xf numFmtId="3" fontId="0" fillId="0" borderId="24" xfId="0" applyNumberFormat="1" applyBorder="1"/>
    <xf numFmtId="3" fontId="0" fillId="0" borderId="19" xfId="0" applyNumberFormat="1" applyBorder="1"/>
    <xf numFmtId="166" fontId="4" fillId="0" borderId="8" xfId="0" applyNumberFormat="1" applyFont="1" applyBorder="1"/>
    <xf numFmtId="0" fontId="4" fillId="0" borderId="8" xfId="0" applyFont="1" applyBorder="1"/>
    <xf numFmtId="0" fontId="4" fillId="0" borderId="9" xfId="0" applyFont="1" applyBorder="1"/>
    <xf numFmtId="1" fontId="9" fillId="0" borderId="8" xfId="0" applyNumberFormat="1" applyFont="1" applyBorder="1" applyAlignment="1">
      <alignment horizontal="left"/>
    </xf>
    <xf numFmtId="0" fontId="5" fillId="0" borderId="0" xfId="0" applyFont="1" applyAlignment="1">
      <alignment shrinkToFit="1"/>
    </xf>
    <xf numFmtId="3" fontId="4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5" fillId="0" borderId="0" xfId="0" applyNumberFormat="1" applyFont="1" applyAlignment="1">
      <alignment horizontal="right" vertical="center"/>
    </xf>
    <xf numFmtId="0" fontId="74" fillId="0" borderId="0" xfId="0" applyFont="1" applyAlignment="1" applyProtection="1">
      <alignment vertical="center"/>
      <protection hidden="1"/>
    </xf>
    <xf numFmtId="0" fontId="74" fillId="0" borderId="0" xfId="0" applyFont="1" applyProtection="1">
      <protection hidden="1"/>
    </xf>
    <xf numFmtId="0" fontId="74" fillId="0" borderId="0" xfId="0" applyFont="1" applyAlignment="1" applyProtection="1">
      <alignment horizontal="left"/>
      <protection hidden="1"/>
    </xf>
    <xf numFmtId="0" fontId="77" fillId="0" borderId="0" xfId="0" applyFont="1" applyProtection="1">
      <protection hidden="1"/>
    </xf>
    <xf numFmtId="0" fontId="77" fillId="0" borderId="0" xfId="0" applyFont="1" applyAlignment="1" applyProtection="1">
      <alignment horizontal="left"/>
      <protection hidden="1"/>
    </xf>
    <xf numFmtId="0" fontId="20" fillId="0" borderId="0" xfId="0" applyFont="1" applyAlignment="1" applyProtection="1">
      <alignment vertical="center"/>
      <protection hidden="1"/>
    </xf>
    <xf numFmtId="14" fontId="9" fillId="0" borderId="0" xfId="0" applyNumberFormat="1" applyFont="1" applyAlignment="1" applyProtection="1">
      <alignment horizontal="center"/>
      <protection hidden="1"/>
    </xf>
    <xf numFmtId="0" fontId="77" fillId="0" borderId="0" xfId="0" applyFont="1" applyAlignment="1" applyProtection="1">
      <alignment vertical="center"/>
      <protection hidden="1"/>
    </xf>
    <xf numFmtId="3" fontId="4" fillId="8" borderId="38" xfId="0" applyNumberFormat="1" applyFont="1" applyFill="1" applyBorder="1" applyAlignment="1" applyProtection="1">
      <alignment horizontal="center" vertical="center"/>
      <protection hidden="1"/>
    </xf>
    <xf numFmtId="3" fontId="5" fillId="8" borderId="20" xfId="2" applyNumberFormat="1" applyFont="1" applyFill="1" applyBorder="1" applyAlignment="1">
      <alignment horizontal="center" vertical="center"/>
    </xf>
    <xf numFmtId="164" fontId="5" fillId="0" borderId="0" xfId="0" applyNumberFormat="1" applyFont="1" applyAlignment="1">
      <alignment horizontal="right" vertical="center"/>
    </xf>
    <xf numFmtId="164" fontId="5" fillId="0" borderId="0" xfId="2" applyNumberFormat="1" applyFont="1" applyAlignment="1" applyProtection="1">
      <alignment horizontal="right" vertical="center"/>
      <protection hidden="1"/>
    </xf>
    <xf numFmtId="0" fontId="20" fillId="0" borderId="0" xfId="0" applyFont="1" applyAlignment="1" applyProtection="1">
      <alignment vertical="center" wrapText="1"/>
      <protection hidden="1"/>
    </xf>
    <xf numFmtId="0" fontId="33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0" fillId="0" borderId="0" xfId="0" applyFont="1"/>
    <xf numFmtId="164" fontId="10" fillId="6" borderId="119" xfId="0" applyNumberFormat="1" applyFont="1" applyFill="1" applyBorder="1" applyAlignment="1" applyProtection="1">
      <alignment horizontal="center" vertical="center"/>
      <protection hidden="1"/>
    </xf>
    <xf numFmtId="164" fontId="10" fillId="6" borderId="131" xfId="0" applyNumberFormat="1" applyFont="1" applyFill="1" applyBorder="1" applyAlignment="1" applyProtection="1">
      <alignment horizontal="center" vertical="center"/>
      <protection hidden="1"/>
    </xf>
    <xf numFmtId="166" fontId="9" fillId="8" borderId="119" xfId="0" applyNumberFormat="1" applyFont="1" applyFill="1" applyBorder="1" applyAlignment="1" applyProtection="1">
      <alignment horizontal="center" vertical="center"/>
      <protection hidden="1"/>
    </xf>
    <xf numFmtId="167" fontId="9" fillId="0" borderId="372" xfId="0" applyNumberFormat="1" applyFont="1" applyBorder="1" applyAlignment="1" applyProtection="1">
      <alignment vertical="center"/>
      <protection hidden="1"/>
    </xf>
    <xf numFmtId="166" fontId="9" fillId="0" borderId="372" xfId="0" applyNumberFormat="1" applyFont="1" applyBorder="1" applyAlignment="1" applyProtection="1">
      <alignment horizontal="center" vertical="center"/>
      <protection hidden="1"/>
    </xf>
    <xf numFmtId="167" fontId="9" fillId="8" borderId="372" xfId="0" applyNumberFormat="1" applyFont="1" applyFill="1" applyBorder="1" applyAlignment="1" applyProtection="1">
      <alignment vertical="center"/>
      <protection hidden="1"/>
    </xf>
    <xf numFmtId="166" fontId="9" fillId="8" borderId="376" xfId="0" applyNumberFormat="1" applyFont="1" applyFill="1" applyBorder="1" applyAlignment="1" applyProtection="1">
      <alignment horizontal="center" vertical="center"/>
      <protection hidden="1"/>
    </xf>
    <xf numFmtId="0" fontId="41" fillId="0" borderId="17" xfId="0" applyFont="1" applyBorder="1" applyAlignment="1" applyProtection="1">
      <alignment horizontal="left" vertical="center"/>
      <protection hidden="1"/>
    </xf>
    <xf numFmtId="0" fontId="41" fillId="0" borderId="59" xfId="0" applyFont="1" applyBorder="1" applyAlignment="1" applyProtection="1">
      <alignment horizontal="left" vertical="center"/>
      <protection hidden="1"/>
    </xf>
    <xf numFmtId="0" fontId="38" fillId="0" borderId="24" xfId="0" applyFont="1" applyBorder="1" applyAlignment="1" applyProtection="1">
      <alignment horizontal="left" vertical="center"/>
      <protection hidden="1"/>
    </xf>
    <xf numFmtId="0" fontId="9" fillId="0" borderId="21" xfId="0" applyFont="1" applyBorder="1" applyAlignment="1">
      <alignment vertical="center"/>
    </xf>
    <xf numFmtId="16" fontId="9" fillId="0" borderId="21" xfId="0" applyNumberFormat="1" applyFont="1" applyBorder="1" applyAlignment="1">
      <alignment horizontal="left" vertical="center"/>
    </xf>
    <xf numFmtId="0" fontId="2" fillId="0" borderId="26" xfId="0" applyFont="1" applyBorder="1" applyAlignment="1">
      <alignment vertical="center"/>
    </xf>
    <xf numFmtId="0" fontId="9" fillId="7" borderId="21" xfId="0" applyFont="1" applyFill="1" applyBorder="1" applyAlignment="1" applyProtection="1">
      <alignment vertical="center"/>
      <protection locked="0"/>
    </xf>
    <xf numFmtId="0" fontId="9" fillId="0" borderId="26" xfId="0" applyFont="1" applyBorder="1" applyAlignment="1">
      <alignment vertical="center"/>
    </xf>
    <xf numFmtId="167" fontId="78" fillId="3" borderId="6" xfId="0" applyNumberFormat="1" applyFont="1" applyFill="1" applyBorder="1" applyAlignment="1" applyProtection="1">
      <alignment horizontal="center" vertical="center"/>
      <protection hidden="1"/>
    </xf>
    <xf numFmtId="167" fontId="78" fillId="3" borderId="7" xfId="0" applyNumberFormat="1" applyFont="1" applyFill="1" applyBorder="1" applyAlignment="1" applyProtection="1">
      <alignment horizontal="center" vertical="center"/>
      <protection hidden="1"/>
    </xf>
    <xf numFmtId="0" fontId="78" fillId="0" borderId="16" xfId="0" applyFont="1" applyBorder="1" applyAlignment="1" applyProtection="1">
      <alignment horizontal="right" vertical="center"/>
      <protection hidden="1"/>
    </xf>
    <xf numFmtId="0" fontId="78" fillId="0" borderId="7" xfId="0" applyFont="1" applyBorder="1" applyAlignment="1" applyProtection="1">
      <alignment vertical="center"/>
      <protection hidden="1"/>
    </xf>
    <xf numFmtId="3" fontId="78" fillId="0" borderId="4" xfId="0" applyNumberFormat="1" applyFont="1" applyBorder="1" applyAlignment="1" applyProtection="1">
      <alignment horizontal="center" vertical="center"/>
      <protection hidden="1"/>
    </xf>
    <xf numFmtId="3" fontId="78" fillId="3" borderId="6" xfId="0" applyNumberFormat="1" applyFont="1" applyFill="1" applyBorder="1" applyAlignment="1" applyProtection="1">
      <alignment horizontal="center" vertical="center"/>
      <protection hidden="1"/>
    </xf>
    <xf numFmtId="164" fontId="75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75" fillId="7" borderId="35" xfId="2" applyNumberFormat="1" applyFont="1" applyFill="1" applyBorder="1" applyAlignment="1" applyProtection="1">
      <alignment horizontal="center" vertical="center"/>
      <protection locked="0" hidden="1"/>
    </xf>
    <xf numFmtId="167" fontId="75" fillId="7" borderId="18" xfId="0" applyNumberFormat="1" applyFont="1" applyFill="1" applyBorder="1" applyAlignment="1" applyProtection="1">
      <alignment horizontal="center" vertical="center"/>
      <protection locked="0" hidden="1"/>
    </xf>
    <xf numFmtId="167" fontId="75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18" xfId="0" applyNumberFormat="1" applyFont="1" applyFill="1" applyBorder="1" applyAlignment="1" applyProtection="1">
      <alignment horizontal="center" vertical="center"/>
      <protection locked="0"/>
    </xf>
    <xf numFmtId="3" fontId="42" fillId="7" borderId="35" xfId="0" applyNumberFormat="1" applyFont="1" applyFill="1" applyBorder="1" applyAlignment="1" applyProtection="1">
      <alignment horizontal="center" vertical="center"/>
      <protection locked="0"/>
    </xf>
    <xf numFmtId="0" fontId="50" fillId="0" borderId="26" xfId="0" applyFont="1" applyBorder="1" applyAlignment="1" applyProtection="1">
      <alignment vertical="center"/>
      <protection locked="0"/>
    </xf>
    <xf numFmtId="0" fontId="42" fillId="0" borderId="26" xfId="0" applyFont="1" applyBorder="1" applyAlignment="1" applyProtection="1">
      <alignment vertical="center"/>
      <protection locked="0"/>
    </xf>
    <xf numFmtId="1" fontId="10" fillId="0" borderId="26" xfId="0" applyNumberFormat="1" applyFont="1" applyBorder="1" applyAlignment="1" applyProtection="1">
      <alignment horizontal="left" vertical="center"/>
      <protection locked="0"/>
    </xf>
    <xf numFmtId="3" fontId="41" fillId="7" borderId="63" xfId="0" applyNumberFormat="1" applyFont="1" applyFill="1" applyBorder="1" applyAlignment="1" applyProtection="1">
      <alignment horizontal="center" vertical="center"/>
      <protection locked="0" hidden="1"/>
    </xf>
    <xf numFmtId="3" fontId="38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38" fillId="7" borderId="32" xfId="0" applyNumberFormat="1" applyFont="1" applyFill="1" applyBorder="1" applyAlignment="1" applyProtection="1">
      <alignment horizontal="center" vertical="center"/>
      <protection locked="0" hidden="1"/>
    </xf>
    <xf numFmtId="0" fontId="2" fillId="0" borderId="79" xfId="0" applyFont="1" applyBorder="1" applyAlignment="1">
      <alignment horizontal="left" vertical="center" indent="1"/>
    </xf>
    <xf numFmtId="0" fontId="2" fillId="0" borderId="66" xfId="0" applyFont="1" applyBorder="1" applyAlignment="1">
      <alignment horizontal="left" vertical="center" indent="1"/>
    </xf>
    <xf numFmtId="0" fontId="2" fillId="0" borderId="12" xfId="0" applyFont="1" applyBorder="1" applyAlignment="1">
      <alignment horizontal="left" vertical="center" indent="1"/>
    </xf>
    <xf numFmtId="0" fontId="2" fillId="0" borderId="41" xfId="0" applyFont="1" applyBorder="1" applyAlignment="1">
      <alignment horizontal="left" vertical="center" indent="1"/>
    </xf>
    <xf numFmtId="3" fontId="1" fillId="6" borderId="21" xfId="0" applyNumberFormat="1" applyFont="1" applyFill="1" applyBorder="1" applyAlignment="1" applyProtection="1">
      <alignment horizontal="center" vertical="center"/>
      <protection hidden="1"/>
    </xf>
    <xf numFmtId="167" fontId="1" fillId="6" borderId="68" xfId="0" applyNumberFormat="1" applyFont="1" applyFill="1" applyBorder="1" applyAlignment="1" applyProtection="1">
      <alignment horizontal="center" vertical="center"/>
      <protection hidden="1"/>
    </xf>
    <xf numFmtId="3" fontId="1" fillId="6" borderId="20" xfId="0" applyNumberFormat="1" applyFont="1" applyFill="1" applyBorder="1" applyAlignment="1" applyProtection="1">
      <alignment horizontal="center" vertical="center"/>
      <protection hidden="1"/>
    </xf>
    <xf numFmtId="3" fontId="4" fillId="6" borderId="99" xfId="0" applyNumberFormat="1" applyFont="1" applyFill="1" applyBorder="1" applyAlignment="1" applyProtection="1">
      <alignment horizontal="center" vertical="center"/>
      <protection hidden="1"/>
    </xf>
    <xf numFmtId="0" fontId="10" fillId="7" borderId="18" xfId="0" applyFont="1" applyFill="1" applyBorder="1" applyAlignment="1" applyProtection="1">
      <alignment horizontal="center" vertical="top"/>
      <protection locked="0"/>
    </xf>
    <xf numFmtId="164" fontId="10" fillId="7" borderId="32" xfId="0" applyNumberFormat="1" applyFont="1" applyFill="1" applyBorder="1" applyAlignment="1" applyProtection="1">
      <alignment horizontal="center" vertical="center"/>
      <protection locked="0"/>
    </xf>
    <xf numFmtId="1" fontId="10" fillId="0" borderId="17" xfId="0" applyNumberFormat="1" applyFont="1" applyBorder="1" applyAlignment="1" applyProtection="1">
      <alignment horizontal="left" vertical="center"/>
      <protection locked="0"/>
    </xf>
    <xf numFmtId="164" fontId="10" fillId="7" borderId="20" xfId="0" applyNumberFormat="1" applyFont="1" applyFill="1" applyBorder="1" applyAlignment="1" applyProtection="1">
      <alignment horizontal="center" vertical="center"/>
      <protection locked="0"/>
    </xf>
    <xf numFmtId="1" fontId="10" fillId="0" borderId="24" xfId="0" applyNumberFormat="1" applyFont="1" applyBorder="1" applyAlignment="1" applyProtection="1">
      <alignment horizontal="left" vertical="center"/>
      <protection locked="0"/>
    </xf>
    <xf numFmtId="0" fontId="48" fillId="0" borderId="26" xfId="0" applyFont="1" applyBorder="1" applyAlignment="1" applyProtection="1">
      <alignment vertical="center"/>
      <protection locked="0"/>
    </xf>
    <xf numFmtId="1" fontId="10" fillId="0" borderId="0" xfId="0" applyNumberFormat="1" applyFont="1" applyAlignment="1" applyProtection="1">
      <alignment horizontal="left" vertical="center"/>
      <protection locked="0"/>
    </xf>
    <xf numFmtId="1" fontId="10" fillId="0" borderId="21" xfId="0" applyNumberFormat="1" applyFont="1" applyBorder="1" applyAlignment="1" applyProtection="1">
      <alignment horizontal="left" vertical="center"/>
      <protection locked="0"/>
    </xf>
    <xf numFmtId="1" fontId="10" fillId="0" borderId="11" xfId="0" applyNumberFormat="1" applyFont="1" applyBorder="1" applyAlignment="1" applyProtection="1">
      <alignment horizontal="left" vertical="center"/>
      <protection locked="0"/>
    </xf>
    <xf numFmtId="20" fontId="9" fillId="0" borderId="13" xfId="0" applyNumberFormat="1" applyFont="1" applyBorder="1"/>
    <xf numFmtId="20" fontId="9" fillId="0" borderId="26" xfId="0" applyNumberFormat="1" applyFont="1" applyBorder="1"/>
    <xf numFmtId="0" fontId="5" fillId="0" borderId="24" xfId="0" applyFont="1" applyBorder="1" applyAlignment="1" applyProtection="1">
      <alignment horizontal="left" vertical="center"/>
      <protection locked="0"/>
    </xf>
    <xf numFmtId="0" fontId="10" fillId="0" borderId="21" xfId="0" applyFont="1" applyBorder="1" applyAlignment="1" applyProtection="1">
      <alignment horizontal="left" vertical="center"/>
      <protection locked="0"/>
    </xf>
    <xf numFmtId="0" fontId="0" fillId="0" borderId="0" xfId="0" applyAlignment="1">
      <alignment horizontal="center" vertical="center" wrapText="1"/>
    </xf>
    <xf numFmtId="0" fontId="4" fillId="0" borderId="64" xfId="0" applyFont="1" applyBorder="1" applyAlignment="1">
      <alignment horizontal="right"/>
    </xf>
    <xf numFmtId="3" fontId="0" fillId="0" borderId="64" xfId="0" applyNumberFormat="1" applyBorder="1"/>
    <xf numFmtId="0" fontId="16" fillId="0" borderId="64" xfId="0" applyFont="1" applyBorder="1"/>
    <xf numFmtId="9" fontId="0" fillId="0" borderId="64" xfId="2" applyFont="1" applyBorder="1"/>
    <xf numFmtId="0" fontId="0" fillId="0" borderId="11" xfId="0" applyBorder="1" applyAlignment="1">
      <alignment horizontal="right"/>
    </xf>
    <xf numFmtId="0" fontId="16" fillId="0" borderId="11" xfId="0" applyFont="1" applyBorder="1"/>
    <xf numFmtId="0" fontId="0" fillId="0" borderId="15" xfId="0" applyBorder="1" applyAlignment="1">
      <alignment horizontal="right"/>
    </xf>
    <xf numFmtId="0" fontId="0" fillId="0" borderId="15" xfId="0" applyBorder="1"/>
    <xf numFmtId="0" fontId="16" fillId="0" borderId="15" xfId="0" applyFont="1" applyBorder="1"/>
    <xf numFmtId="0" fontId="4" fillId="6" borderId="28" xfId="0" applyFont="1" applyFill="1" applyBorder="1" applyAlignment="1">
      <alignment horizontal="center" vertical="center"/>
    </xf>
    <xf numFmtId="0" fontId="4" fillId="6" borderId="22" xfId="0" applyFont="1" applyFill="1" applyBorder="1" applyAlignment="1">
      <alignment horizontal="center" vertical="center"/>
    </xf>
    <xf numFmtId="0" fontId="4" fillId="6" borderId="20" xfId="0" applyFont="1" applyFill="1" applyBorder="1" applyAlignment="1">
      <alignment horizontal="center" vertical="center"/>
    </xf>
    <xf numFmtId="0" fontId="4" fillId="6" borderId="23" xfId="0" applyFont="1" applyFill="1" applyBorder="1" applyAlignment="1">
      <alignment horizontal="center" vertical="center"/>
    </xf>
    <xf numFmtId="3" fontId="0" fillId="6" borderId="49" xfId="2" applyNumberFormat="1" applyFont="1" applyFill="1" applyBorder="1"/>
    <xf numFmtId="3" fontId="0" fillId="6" borderId="63" xfId="0" applyNumberFormat="1" applyFill="1" applyBorder="1"/>
    <xf numFmtId="3" fontId="0" fillId="6" borderId="50" xfId="0" applyNumberFormat="1" applyFill="1" applyBorder="1"/>
    <xf numFmtId="3" fontId="0" fillId="6" borderId="36" xfId="2" applyNumberFormat="1" applyFont="1" applyFill="1" applyBorder="1"/>
    <xf numFmtId="3" fontId="0" fillId="6" borderId="18" xfId="0" applyNumberFormat="1" applyFill="1" applyBorder="1"/>
    <xf numFmtId="3" fontId="0" fillId="6" borderId="35" xfId="0" applyNumberFormat="1" applyFill="1" applyBorder="1"/>
    <xf numFmtId="3" fontId="0" fillId="6" borderId="37" xfId="2" applyNumberFormat="1" applyFont="1" applyFill="1" applyBorder="1"/>
    <xf numFmtId="3" fontId="0" fillId="6" borderId="38" xfId="0" applyNumberFormat="1" applyFill="1" applyBorder="1"/>
    <xf numFmtId="3" fontId="0" fillId="6" borderId="55" xfId="0" applyNumberFormat="1" applyFill="1" applyBorder="1"/>
    <xf numFmtId="3" fontId="0" fillId="6" borderId="52" xfId="2" applyNumberFormat="1" applyFont="1" applyFill="1" applyBorder="1"/>
    <xf numFmtId="3" fontId="0" fillId="6" borderId="32" xfId="0" applyNumberFormat="1" applyFill="1" applyBorder="1"/>
    <xf numFmtId="3" fontId="0" fillId="6" borderId="33" xfId="0" applyNumberFormat="1" applyFill="1" applyBorder="1"/>
    <xf numFmtId="3" fontId="0" fillId="6" borderId="22" xfId="2" applyNumberFormat="1" applyFont="1" applyFill="1" applyBorder="1"/>
    <xf numFmtId="3" fontId="0" fillId="6" borderId="20" xfId="0" applyNumberFormat="1" applyFill="1" applyBorder="1"/>
    <xf numFmtId="3" fontId="0" fillId="6" borderId="23" xfId="0" applyNumberFormat="1" applyFill="1" applyBorder="1"/>
    <xf numFmtId="3" fontId="0" fillId="6" borderId="34" xfId="2" applyNumberFormat="1" applyFont="1" applyFill="1" applyBorder="1"/>
    <xf numFmtId="3" fontId="0" fillId="6" borderId="34" xfId="0" applyNumberFormat="1" applyFill="1" applyBorder="1"/>
    <xf numFmtId="3" fontId="4" fillId="6" borderId="0" xfId="0" applyNumberFormat="1" applyFont="1" applyFill="1"/>
    <xf numFmtId="166" fontId="4" fillId="6" borderId="0" xfId="0" applyNumberFormat="1" applyFont="1" applyFill="1"/>
    <xf numFmtId="0" fontId="4" fillId="6" borderId="0" xfId="0" applyFont="1" applyFill="1" applyAlignment="1">
      <alignment horizontal="center"/>
    </xf>
    <xf numFmtId="0" fontId="0" fillId="6" borderId="64" xfId="0" applyFill="1" applyBorder="1"/>
    <xf numFmtId="167" fontId="0" fillId="6" borderId="64" xfId="0" applyNumberFormat="1" applyFill="1" applyBorder="1"/>
    <xf numFmtId="0" fontId="0" fillId="6" borderId="11" xfId="0" applyFill="1" applyBorder="1"/>
    <xf numFmtId="167" fontId="0" fillId="6" borderId="11" xfId="0" applyNumberFormat="1" applyFill="1" applyBorder="1"/>
    <xf numFmtId="0" fontId="0" fillId="6" borderId="15" xfId="0" applyFill="1" applyBorder="1"/>
    <xf numFmtId="167" fontId="0" fillId="6" borderId="15" xfId="0" applyNumberFormat="1" applyFill="1" applyBorder="1"/>
    <xf numFmtId="0" fontId="4" fillId="6" borderId="11" xfId="0" applyFont="1" applyFill="1" applyBorder="1"/>
    <xf numFmtId="167" fontId="4" fillId="6" borderId="11" xfId="0" applyNumberFormat="1" applyFont="1" applyFill="1" applyBorder="1"/>
    <xf numFmtId="166" fontId="4" fillId="6" borderId="0" xfId="0" applyNumberFormat="1" applyFont="1" applyFill="1" applyAlignment="1">
      <alignment horizontal="center"/>
    </xf>
    <xf numFmtId="0" fontId="4" fillId="6" borderId="0" xfId="0" applyFont="1" applyFill="1"/>
    <xf numFmtId="167" fontId="4" fillId="6" borderId="0" xfId="0" applyNumberFormat="1" applyFont="1" applyFill="1"/>
    <xf numFmtId="3" fontId="4" fillId="6" borderId="17" xfId="0" applyNumberFormat="1" applyFont="1" applyFill="1" applyBorder="1"/>
    <xf numFmtId="0" fontId="10" fillId="0" borderId="11" xfId="0" applyFont="1" applyBorder="1"/>
    <xf numFmtId="3" fontId="10" fillId="0" borderId="11" xfId="0" applyNumberFormat="1" applyFont="1" applyBorder="1" applyAlignment="1" applyProtection="1">
      <alignment vertical="center"/>
      <protection hidden="1"/>
    </xf>
    <xf numFmtId="3" fontId="0" fillId="0" borderId="11" xfId="0" applyNumberFormat="1" applyBorder="1" applyAlignment="1">
      <alignment vertical="center"/>
    </xf>
    <xf numFmtId="0" fontId="1" fillId="6" borderId="64" xfId="0" applyFont="1" applyFill="1" applyBorder="1"/>
    <xf numFmtId="3" fontId="4" fillId="0" borderId="49" xfId="0" applyNumberFormat="1" applyFont="1" applyBorder="1"/>
    <xf numFmtId="3" fontId="4" fillId="0" borderId="63" xfId="0" applyNumberFormat="1" applyFont="1" applyBorder="1"/>
    <xf numFmtId="3" fontId="4" fillId="0" borderId="50" xfId="0" applyNumberFormat="1" applyFont="1" applyBorder="1"/>
    <xf numFmtId="0" fontId="0" fillId="0" borderId="35" xfId="0" applyBorder="1"/>
    <xf numFmtId="0" fontId="0" fillId="0" borderId="55" xfId="0" applyBorder="1"/>
    <xf numFmtId="3" fontId="4" fillId="0" borderId="22" xfId="0" applyNumberFormat="1" applyFont="1" applyBorder="1"/>
    <xf numFmtId="3" fontId="4" fillId="0" borderId="20" xfId="0" applyNumberFormat="1" applyFont="1" applyBorder="1"/>
    <xf numFmtId="3" fontId="4" fillId="0" borderId="23" xfId="0" applyNumberFormat="1" applyFont="1" applyBorder="1"/>
    <xf numFmtId="1" fontId="9" fillId="0" borderId="24" xfId="0" applyNumberFormat="1" applyFont="1" applyBorder="1" applyAlignment="1" applyProtection="1">
      <alignment horizontal="left" vertical="center"/>
      <protection locked="0"/>
    </xf>
    <xf numFmtId="1" fontId="9" fillId="0" borderId="17" xfId="0" applyNumberFormat="1" applyFont="1" applyBorder="1" applyAlignment="1" applyProtection="1">
      <alignment horizontal="left" vertical="center"/>
      <protection locked="0"/>
    </xf>
    <xf numFmtId="0" fontId="5" fillId="0" borderId="24" xfId="0" applyFont="1" applyBorder="1"/>
    <xf numFmtId="0" fontId="5" fillId="0" borderId="17" xfId="0" applyFont="1" applyBorder="1"/>
    <xf numFmtId="0" fontId="6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5" fillId="0" borderId="0" xfId="0" applyFont="1" applyAlignment="1">
      <alignment horizontal="left"/>
    </xf>
    <xf numFmtId="0" fontId="4" fillId="0" borderId="0" xfId="0" applyFont="1" applyAlignment="1">
      <alignment horizontal="center" vertical="center"/>
    </xf>
    <xf numFmtId="0" fontId="10" fillId="7" borderId="11" xfId="0" applyFont="1" applyFill="1" applyBorder="1" applyAlignment="1" applyProtection="1">
      <alignment horizontal="left" vertical="center"/>
      <protection locked="0"/>
    </xf>
    <xf numFmtId="0" fontId="10" fillId="0" borderId="11" xfId="0" applyFont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left" vertical="center"/>
    </xf>
    <xf numFmtId="14" fontId="4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left"/>
    </xf>
    <xf numFmtId="0" fontId="10" fillId="0" borderId="24" xfId="0" applyFont="1" applyBorder="1" applyAlignment="1" applyProtection="1">
      <alignment vertical="center"/>
      <protection locked="0"/>
    </xf>
    <xf numFmtId="0" fontId="10" fillId="0" borderId="17" xfId="0" applyFont="1" applyBorder="1" applyAlignment="1" applyProtection="1">
      <alignment vertical="center"/>
      <protection locked="0"/>
    </xf>
    <xf numFmtId="9" fontId="10" fillId="0" borderId="0" xfId="0" applyNumberFormat="1" applyFont="1" applyAlignment="1">
      <alignment horizontal="left" vertical="center"/>
    </xf>
    <xf numFmtId="0" fontId="9" fillId="0" borderId="0" xfId="0" applyFont="1" applyAlignment="1" applyProtection="1">
      <alignment horizontal="center"/>
      <protection locked="0"/>
    </xf>
    <xf numFmtId="0" fontId="9" fillId="3" borderId="13" xfId="0" applyFont="1" applyFill="1" applyBorder="1" applyAlignment="1">
      <alignment horizontal="center" vertical="center" wrapText="1"/>
    </xf>
    <xf numFmtId="167" fontId="10" fillId="0" borderId="11" xfId="0" applyNumberFormat="1" applyFont="1" applyBorder="1" applyAlignment="1">
      <alignment horizontal="center"/>
    </xf>
    <xf numFmtId="167" fontId="10" fillId="0" borderId="43" xfId="0" applyNumberFormat="1" applyFont="1" applyBorder="1" applyAlignment="1">
      <alignment horizontal="center"/>
    </xf>
    <xf numFmtId="3" fontId="10" fillId="0" borderId="24" xfId="0" applyNumberFormat="1" applyFont="1" applyBorder="1" applyAlignment="1" applyProtection="1">
      <alignment horizontal="center" vertical="center"/>
      <protection hidden="1"/>
    </xf>
    <xf numFmtId="0" fontId="4" fillId="6" borderId="27" xfId="0" applyFont="1" applyFill="1" applyBorder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3" fontId="0" fillId="0" borderId="18" xfId="0" applyNumberFormat="1" applyBorder="1" applyAlignment="1">
      <alignment horizontal="center"/>
    </xf>
    <xf numFmtId="3" fontId="10" fillId="0" borderId="18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right" vertical="top" wrapText="1"/>
      <protection hidden="1"/>
    </xf>
    <xf numFmtId="0" fontId="10" fillId="0" borderId="141" xfId="0" applyFont="1" applyBorder="1" applyAlignment="1" applyProtection="1">
      <alignment vertical="center"/>
      <protection hidden="1"/>
    </xf>
    <xf numFmtId="0" fontId="10" fillId="0" borderId="73" xfId="0" applyFont="1" applyBorder="1" applyAlignment="1" applyProtection="1">
      <alignment vertical="center"/>
      <protection hidden="1"/>
    </xf>
    <xf numFmtId="0" fontId="10" fillId="0" borderId="85" xfId="0" applyFont="1" applyBorder="1" applyAlignment="1" applyProtection="1">
      <alignment vertical="center"/>
      <protection hidden="1"/>
    </xf>
    <xf numFmtId="0" fontId="10" fillId="0" borderId="44" xfId="0" applyFont="1" applyBorder="1" applyAlignment="1">
      <alignment horizontal="left" vertical="center"/>
    </xf>
    <xf numFmtId="0" fontId="1" fillId="0" borderId="0" xfId="0" applyFont="1" applyAlignment="1" applyProtection="1">
      <alignment horizontal="center"/>
      <protection hidden="1"/>
    </xf>
    <xf numFmtId="0" fontId="10" fillId="0" borderId="160" xfId="0" applyFont="1" applyBorder="1" applyAlignment="1" applyProtection="1">
      <alignment horizontal="left" vertical="center"/>
      <protection hidden="1"/>
    </xf>
    <xf numFmtId="0" fontId="10" fillId="0" borderId="71" xfId="0" applyFont="1" applyBorder="1" applyAlignment="1" applyProtection="1">
      <alignment horizontal="left" vertical="center"/>
      <protection hidden="1"/>
    </xf>
    <xf numFmtId="0" fontId="10" fillId="0" borderId="84" xfId="0" applyFont="1" applyBorder="1" applyAlignment="1" applyProtection="1">
      <alignment horizontal="left" vertical="center"/>
      <protection hidden="1"/>
    </xf>
    <xf numFmtId="0" fontId="10" fillId="0" borderId="141" xfId="0" applyFont="1" applyBorder="1" applyAlignment="1" applyProtection="1">
      <alignment horizontal="left" vertical="center"/>
      <protection hidden="1"/>
    </xf>
    <xf numFmtId="0" fontId="10" fillId="0" borderId="73" xfId="0" applyFont="1" applyBorder="1" applyAlignment="1" applyProtection="1">
      <alignment horizontal="left" vertical="center"/>
      <protection hidden="1"/>
    </xf>
    <xf numFmtId="0" fontId="10" fillId="0" borderId="85" xfId="0" applyFont="1" applyBorder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0" fillId="0" borderId="77" xfId="0" applyFont="1" applyBorder="1" applyAlignment="1">
      <alignment horizontal="left" vertical="center"/>
    </xf>
    <xf numFmtId="0" fontId="10" fillId="0" borderId="78" xfId="0" applyFont="1" applyBorder="1" applyAlignment="1">
      <alignment horizontal="left" vertical="center"/>
    </xf>
    <xf numFmtId="0" fontId="9" fillId="0" borderId="77" xfId="0" applyFont="1" applyBorder="1" applyAlignment="1">
      <alignment horizontal="left" vertical="center"/>
    </xf>
    <xf numFmtId="3" fontId="0" fillId="0" borderId="0" xfId="0" applyNumberFormat="1" applyAlignment="1" applyProtection="1">
      <alignment horizontal="right"/>
      <protection hidden="1"/>
    </xf>
    <xf numFmtId="0" fontId="0" fillId="0" borderId="0" xfId="0" applyAlignment="1" applyProtection="1">
      <alignment horizontal="center"/>
      <protection hidden="1"/>
    </xf>
    <xf numFmtId="0" fontId="10" fillId="0" borderId="0" xfId="0" applyFont="1" applyAlignment="1" applyProtection="1">
      <alignment horizontal="left"/>
      <protection hidden="1"/>
    </xf>
    <xf numFmtId="1" fontId="9" fillId="0" borderId="0" xfId="0" applyNumberFormat="1" applyFont="1" applyAlignment="1" applyProtection="1">
      <alignment horizontal="center"/>
      <protection hidden="1"/>
    </xf>
    <xf numFmtId="3" fontId="10" fillId="0" borderId="0" xfId="0" applyNumberFormat="1" applyFont="1" applyAlignment="1" applyProtection="1">
      <alignment horizontal="right" vertic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73" fillId="11" borderId="27" xfId="0" applyFont="1" applyFill="1" applyBorder="1" applyAlignment="1">
      <alignment horizontal="center" vertical="center"/>
    </xf>
    <xf numFmtId="0" fontId="73" fillId="11" borderId="0" xfId="0" applyFont="1" applyFill="1" applyAlignment="1">
      <alignment horizontal="center" vertical="center"/>
    </xf>
    <xf numFmtId="0" fontId="73" fillId="11" borderId="28" xfId="0" applyFont="1" applyFill="1" applyBorder="1" applyAlignment="1">
      <alignment horizontal="center" vertical="center"/>
    </xf>
    <xf numFmtId="1" fontId="10" fillId="0" borderId="0" xfId="0" applyNumberFormat="1" applyFont="1" applyAlignment="1" applyProtection="1">
      <alignment horizontal="right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3" fontId="10" fillId="0" borderId="0" xfId="0" applyNumberFormat="1" applyFont="1" applyAlignment="1" applyProtection="1">
      <alignment horizontal="right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2" fillId="0" borderId="0" xfId="0" applyFont="1" applyAlignment="1">
      <alignment horizontal="right" vertical="center"/>
    </xf>
    <xf numFmtId="0" fontId="38" fillId="0" borderId="21" xfId="0" applyFont="1" applyBorder="1" applyAlignment="1">
      <alignment horizontal="left" vertical="center"/>
    </xf>
    <xf numFmtId="0" fontId="38" fillId="0" borderId="11" xfId="0" applyFont="1" applyBorder="1" applyAlignment="1">
      <alignment horizontal="left" vertical="center"/>
    </xf>
    <xf numFmtId="0" fontId="39" fillId="0" borderId="11" xfId="0" applyFont="1" applyBorder="1" applyAlignment="1">
      <alignment horizontal="left" vertical="center"/>
    </xf>
    <xf numFmtId="0" fontId="39" fillId="0" borderId="43" xfId="0" applyFont="1" applyBorder="1" applyAlignment="1">
      <alignment horizontal="left" vertical="center"/>
    </xf>
    <xf numFmtId="0" fontId="6" fillId="0" borderId="0" xfId="0" applyFont="1" applyAlignment="1">
      <alignment horizontal="left"/>
    </xf>
    <xf numFmtId="0" fontId="69" fillId="11" borderId="39" xfId="0" applyFont="1" applyFill="1" applyBorder="1" applyAlignment="1">
      <alignment horizontal="center" vertical="center"/>
    </xf>
    <xf numFmtId="0" fontId="69" fillId="11" borderId="225" xfId="0" applyFont="1" applyFill="1" applyBorder="1" applyAlignment="1">
      <alignment horizontal="center" vertical="center"/>
    </xf>
    <xf numFmtId="3" fontId="10" fillId="0" borderId="0" xfId="0" applyNumberFormat="1" applyFont="1" applyAlignment="1" applyProtection="1">
      <alignment horizontal="center" vertical="center"/>
      <protection hidden="1"/>
    </xf>
    <xf numFmtId="0" fontId="54" fillId="11" borderId="107" xfId="0" applyFont="1" applyFill="1" applyBorder="1" applyAlignment="1" applyProtection="1">
      <alignment horizontal="left" vertical="center" indent="1"/>
      <protection hidden="1"/>
    </xf>
    <xf numFmtId="0" fontId="54" fillId="11" borderId="109" xfId="0" applyFont="1" applyFill="1" applyBorder="1" applyAlignment="1" applyProtection="1">
      <alignment horizontal="left" vertical="center" indent="1"/>
      <protection hidden="1"/>
    </xf>
    <xf numFmtId="3" fontId="10" fillId="0" borderId="130" xfId="0" applyNumberFormat="1" applyFont="1" applyBorder="1" applyAlignment="1" applyProtection="1">
      <alignment horizontal="center" vertical="center"/>
      <protection hidden="1"/>
    </xf>
    <xf numFmtId="14" fontId="9" fillId="0" borderId="0" xfId="0" applyNumberFormat="1" applyFont="1" applyAlignment="1" applyProtection="1">
      <alignment horizontal="left" vertical="center"/>
      <protection hidden="1"/>
    </xf>
    <xf numFmtId="0" fontId="10" fillId="0" borderId="135" xfId="0" applyFont="1" applyBorder="1" applyAlignment="1" applyProtection="1">
      <alignment horizontal="left" vertical="center"/>
      <protection hidden="1"/>
    </xf>
    <xf numFmtId="0" fontId="10" fillId="0" borderId="135" xfId="0" applyFont="1" applyBorder="1" applyAlignment="1" applyProtection="1">
      <alignment horizontal="left" vertical="center" wrapText="1"/>
      <protection hidden="1"/>
    </xf>
    <xf numFmtId="0" fontId="10" fillId="0" borderId="0" xfId="0" applyFont="1" applyAlignment="1" applyProtection="1">
      <alignment horizontal="center"/>
      <protection hidden="1"/>
    </xf>
    <xf numFmtId="167" fontId="2" fillId="0" borderId="0" xfId="0" applyNumberFormat="1" applyFont="1" applyAlignment="1" applyProtection="1">
      <alignment horizontal="center"/>
      <protection hidden="1"/>
    </xf>
    <xf numFmtId="0" fontId="10" fillId="0" borderId="203" xfId="0" applyFont="1" applyBorder="1" applyAlignment="1" applyProtection="1">
      <alignment horizontal="left" vertical="center"/>
      <protection hidden="1"/>
    </xf>
    <xf numFmtId="0" fontId="10" fillId="0" borderId="202" xfId="0" applyFont="1" applyBorder="1" applyAlignment="1" applyProtection="1">
      <alignment horizontal="left" vertical="center"/>
      <protection hidden="1"/>
    </xf>
    <xf numFmtId="0" fontId="5" fillId="0" borderId="203" xfId="0" applyFont="1" applyBorder="1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9" fillId="0" borderId="106" xfId="0" applyFont="1" applyBorder="1" applyAlignment="1" applyProtection="1">
      <alignment horizontal="left" vertical="center"/>
      <protection hidden="1"/>
    </xf>
    <xf numFmtId="0" fontId="2" fillId="6" borderId="136" xfId="0" applyFont="1" applyFill="1" applyBorder="1" applyAlignment="1" applyProtection="1">
      <alignment horizontal="center" vertical="center"/>
      <protection hidden="1"/>
    </xf>
    <xf numFmtId="0" fontId="77" fillId="0" borderId="0" xfId="0" applyFont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left"/>
      <protection hidden="1"/>
    </xf>
    <xf numFmtId="1" fontId="69" fillId="11" borderId="133" xfId="0" applyNumberFormat="1" applyFont="1" applyFill="1" applyBorder="1" applyAlignment="1" applyProtection="1">
      <alignment horizontal="center" vertical="center"/>
      <protection hidden="1"/>
    </xf>
    <xf numFmtId="0" fontId="10" fillId="0" borderId="150" xfId="0" applyFont="1" applyBorder="1" applyAlignment="1" applyProtection="1">
      <alignment horizontal="left" vertical="center" wrapText="1"/>
      <protection hidden="1"/>
    </xf>
    <xf numFmtId="14" fontId="9" fillId="0" borderId="0" xfId="0" applyNumberFormat="1" applyFont="1" applyAlignment="1">
      <alignment horizontal="left" shrinkToFit="1"/>
    </xf>
    <xf numFmtId="0" fontId="54" fillId="11" borderId="287" xfId="0" applyFont="1" applyFill="1" applyBorder="1" applyAlignment="1" applyProtection="1">
      <alignment horizontal="left" vertical="center" indent="1"/>
      <protection hidden="1"/>
    </xf>
    <xf numFmtId="0" fontId="1" fillId="0" borderId="0" xfId="0" applyFont="1" applyAlignment="1">
      <alignment horizontal="left" vertical="center" wrapText="1"/>
    </xf>
    <xf numFmtId="0" fontId="1" fillId="0" borderId="10" xfId="0" applyFont="1" applyBorder="1" applyAlignment="1" applyProtection="1">
      <alignment vertical="center"/>
      <protection hidden="1"/>
    </xf>
    <xf numFmtId="0" fontId="1" fillId="0" borderId="29" xfId="0" applyFont="1" applyBorder="1" applyAlignment="1" applyProtection="1">
      <alignment vertical="center"/>
      <protection hidden="1"/>
    </xf>
    <xf numFmtId="0" fontId="1" fillId="0" borderId="54" xfId="0" applyFont="1" applyBorder="1" applyAlignment="1" applyProtection="1">
      <alignment vertical="center"/>
      <protection hidden="1"/>
    </xf>
    <xf numFmtId="167" fontId="1" fillId="0" borderId="30" xfId="0" applyNumberFormat="1" applyFont="1" applyBorder="1" applyAlignment="1" applyProtection="1">
      <alignment horizontal="right" vertical="center"/>
      <protection hidden="1"/>
    </xf>
    <xf numFmtId="0" fontId="1" fillId="0" borderId="0" xfId="0" applyFont="1" applyAlignment="1">
      <alignment horizontal="center" vertical="center"/>
    </xf>
    <xf numFmtId="0" fontId="1" fillId="0" borderId="11" xfId="0" applyFont="1" applyBorder="1" applyAlignment="1">
      <alignment vertical="center"/>
    </xf>
    <xf numFmtId="3" fontId="1" fillId="7" borderId="18" xfId="0" applyNumberFormat="1" applyFont="1" applyFill="1" applyBorder="1" applyAlignment="1" applyProtection="1">
      <alignment horizontal="center" vertical="center"/>
      <protection locked="0"/>
    </xf>
    <xf numFmtId="167" fontId="1" fillId="0" borderId="18" xfId="0" applyNumberFormat="1" applyFont="1" applyBorder="1" applyAlignment="1">
      <alignment horizontal="center" vertical="center"/>
    </xf>
    <xf numFmtId="14" fontId="1" fillId="0" borderId="0" xfId="0" applyNumberFormat="1" applyFont="1" applyAlignment="1">
      <alignment horizontal="left"/>
    </xf>
    <xf numFmtId="0" fontId="1" fillId="0" borderId="34" xfId="0" applyFont="1" applyBorder="1"/>
    <xf numFmtId="167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vertical="center"/>
    </xf>
    <xf numFmtId="0" fontId="1" fillId="0" borderId="17" xfId="0" applyFont="1" applyBorder="1"/>
    <xf numFmtId="0" fontId="1" fillId="0" borderId="0" xfId="0" applyFont="1" applyProtection="1">
      <protection locked="0"/>
    </xf>
    <xf numFmtId="3" fontId="1" fillId="0" borderId="0" xfId="0" applyNumberFormat="1" applyFont="1" applyProtection="1">
      <protection hidden="1"/>
    </xf>
    <xf numFmtId="0" fontId="1" fillId="0" borderId="0" xfId="0" applyFont="1" applyAlignment="1" applyProtection="1">
      <alignment horizontal="left" vertical="center"/>
      <protection locked="0"/>
    </xf>
    <xf numFmtId="0" fontId="1" fillId="0" borderId="0" xfId="0" applyFont="1" applyAlignment="1">
      <alignment horizontal="left" vertical="center"/>
    </xf>
    <xf numFmtId="164" fontId="1" fillId="0" borderId="0" xfId="0" applyNumberFormat="1" applyFont="1"/>
    <xf numFmtId="0" fontId="1" fillId="2" borderId="0" xfId="0" applyFont="1" applyFill="1" applyAlignment="1">
      <alignment horizontal="right"/>
    </xf>
    <xf numFmtId="0" fontId="1" fillId="2" borderId="0" xfId="0" applyFont="1" applyFill="1"/>
    <xf numFmtId="3" fontId="1" fillId="2" borderId="0" xfId="0" applyNumberFormat="1" applyFont="1" applyFill="1" applyProtection="1">
      <protection hidden="1"/>
    </xf>
    <xf numFmtId="164" fontId="1" fillId="2" borderId="0" xfId="0" applyNumberFormat="1" applyFont="1" applyFill="1" applyProtection="1">
      <protection hidden="1"/>
    </xf>
    <xf numFmtId="4" fontId="1" fillId="2" borderId="0" xfId="0" applyNumberFormat="1" applyFont="1" applyFill="1" applyProtection="1">
      <protection hidden="1"/>
    </xf>
    <xf numFmtId="49" fontId="1" fillId="2" borderId="0" xfId="0" applyNumberFormat="1" applyFont="1" applyFill="1" applyAlignment="1">
      <alignment horizontal="right"/>
    </xf>
    <xf numFmtId="167" fontId="1" fillId="2" borderId="0" xfId="0" applyNumberFormat="1" applyFont="1" applyFill="1"/>
    <xf numFmtId="2" fontId="1" fillId="0" borderId="0" xfId="0" applyNumberFormat="1" applyFont="1" applyAlignment="1" applyProtection="1">
      <alignment horizontal="left"/>
      <protection hidden="1"/>
    </xf>
    <xf numFmtId="0" fontId="1" fillId="0" borderId="0" xfId="0" applyFont="1" applyAlignment="1" applyProtection="1">
      <alignment horizontal="left"/>
      <protection hidden="1"/>
    </xf>
    <xf numFmtId="0" fontId="1" fillId="0" borderId="3" xfId="0" applyFont="1" applyBorder="1" applyAlignment="1">
      <alignment horizontal="left" vertical="center"/>
    </xf>
    <xf numFmtId="1" fontId="1" fillId="0" borderId="0" xfId="0" applyNumberFormat="1" applyFont="1"/>
    <xf numFmtId="3" fontId="1" fillId="0" borderId="49" xfId="0" applyNumberFormat="1" applyFont="1" applyBorder="1"/>
    <xf numFmtId="3" fontId="1" fillId="0" borderId="18" xfId="0" applyNumberFormat="1" applyFont="1" applyBorder="1"/>
    <xf numFmtId="3" fontId="1" fillId="0" borderId="38" xfId="0" applyNumberFormat="1" applyFont="1" applyBorder="1"/>
    <xf numFmtId="0" fontId="1" fillId="0" borderId="26" xfId="0" applyFont="1" applyBorder="1"/>
    <xf numFmtId="49" fontId="1" fillId="2" borderId="0" xfId="0" applyNumberFormat="1" applyFont="1" applyFill="1" applyAlignment="1">
      <alignment horizontal="center"/>
    </xf>
    <xf numFmtId="3" fontId="1" fillId="2" borderId="0" xfId="0" applyNumberFormat="1" applyFont="1" applyFill="1"/>
    <xf numFmtId="0" fontId="1" fillId="0" borderId="26" xfId="0" applyFont="1" applyBorder="1" applyAlignment="1" applyProtection="1">
      <alignment horizontal="left"/>
      <protection hidden="1"/>
    </xf>
    <xf numFmtId="0" fontId="1" fillId="0" borderId="26" xfId="0" applyFont="1" applyBorder="1" applyAlignment="1" applyProtection="1">
      <alignment horizontal="center"/>
      <protection hidden="1"/>
    </xf>
    <xf numFmtId="1" fontId="1" fillId="0" borderId="0" xfId="0" applyNumberFormat="1" applyFont="1" applyAlignment="1" applyProtection="1">
      <alignment horizontal="center"/>
      <protection hidden="1"/>
    </xf>
    <xf numFmtId="165" fontId="1" fillId="0" borderId="0" xfId="0" applyNumberFormat="1" applyFont="1" applyAlignment="1">
      <alignment horizontal="right"/>
    </xf>
    <xf numFmtId="0" fontId="1" fillId="0" borderId="19" xfId="0" applyFont="1" applyBorder="1" applyAlignment="1" applyProtection="1">
      <alignment horizontal="left" vertical="center"/>
      <protection hidden="1"/>
    </xf>
    <xf numFmtId="0" fontId="1" fillId="0" borderId="8" xfId="0" applyFont="1" applyBorder="1" applyAlignment="1" applyProtection="1">
      <alignment horizontal="left" vertical="center"/>
      <protection hidden="1"/>
    </xf>
    <xf numFmtId="0" fontId="1" fillId="0" borderId="9" xfId="0" applyFont="1" applyBorder="1" applyAlignment="1" applyProtection="1">
      <alignment horizontal="left" vertical="center"/>
      <protection hidden="1"/>
    </xf>
    <xf numFmtId="0" fontId="1" fillId="0" borderId="31" xfId="0" applyFont="1" applyBorder="1" applyAlignment="1" applyProtection="1">
      <alignment horizontal="left" vertical="center"/>
      <protection hidden="1"/>
    </xf>
    <xf numFmtId="0" fontId="1" fillId="0" borderId="26" xfId="0" applyFont="1" applyBorder="1" applyAlignment="1" applyProtection="1">
      <alignment horizontal="left" vertical="center"/>
      <protection hidden="1"/>
    </xf>
    <xf numFmtId="2" fontId="1" fillId="0" borderId="0" xfId="0" applyNumberFormat="1" applyFont="1" applyAlignment="1">
      <alignment horizontal="left" vertical="center"/>
    </xf>
    <xf numFmtId="1" fontId="1" fillId="0" borderId="0" xfId="0" applyNumberFormat="1" applyFont="1" applyAlignment="1">
      <alignment vertical="center"/>
    </xf>
    <xf numFmtId="0" fontId="1" fillId="0" borderId="118" xfId="0" applyFont="1" applyBorder="1" applyAlignment="1">
      <alignment horizontal="left" vertical="center"/>
    </xf>
    <xf numFmtId="3" fontId="1" fillId="6" borderId="18" xfId="0" applyNumberFormat="1" applyFont="1" applyFill="1" applyBorder="1" applyAlignment="1" applyProtection="1">
      <alignment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1" fillId="0" borderId="0" xfId="0" applyFont="1" applyAlignment="1" applyProtection="1">
      <alignment horizontal="right" vertical="center"/>
      <protection hidden="1"/>
    </xf>
    <xf numFmtId="3" fontId="1" fillId="0" borderId="0" xfId="0" applyNumberFormat="1" applyFont="1" applyAlignment="1" applyProtection="1">
      <alignment vertical="center"/>
      <protection hidden="1"/>
    </xf>
    <xf numFmtId="3" fontId="1" fillId="0" borderId="0" xfId="0" applyNumberFormat="1" applyFont="1" applyAlignment="1" applyProtection="1">
      <alignment horizontal="center" vertical="center"/>
      <protection hidden="1"/>
    </xf>
    <xf numFmtId="14" fontId="1" fillId="0" borderId="0" xfId="0" applyNumberFormat="1" applyFont="1" applyAlignment="1">
      <alignment vertical="center"/>
    </xf>
    <xf numFmtId="0" fontId="1" fillId="0" borderId="3" xfId="0" applyFont="1" applyBorder="1" applyProtection="1">
      <protection hidden="1"/>
    </xf>
    <xf numFmtId="0" fontId="1" fillId="0" borderId="3" xfId="0" applyFont="1" applyBorder="1"/>
    <xf numFmtId="0" fontId="1" fillId="0" borderId="2" xfId="0" applyFont="1" applyBorder="1"/>
    <xf numFmtId="164" fontId="1" fillId="0" borderId="0" xfId="0" applyNumberFormat="1" applyFont="1" applyAlignment="1" applyProtection="1">
      <alignment horizontal="right"/>
      <protection hidden="1"/>
    </xf>
    <xf numFmtId="14" fontId="1" fillId="0" borderId="0" xfId="0" applyNumberFormat="1" applyFont="1" applyAlignment="1" applyProtection="1">
      <alignment horizontal="center" vertical="center"/>
      <protection hidden="1"/>
    </xf>
    <xf numFmtId="49" fontId="1" fillId="2" borderId="0" xfId="0" applyNumberFormat="1" applyFont="1" applyFill="1" applyAlignment="1">
      <alignment horizontal="right" vertical="center"/>
    </xf>
    <xf numFmtId="0" fontId="1" fillId="2" borderId="0" xfId="0" applyFont="1" applyFill="1" applyAlignment="1">
      <alignment horizontal="left" vertical="center"/>
    </xf>
    <xf numFmtId="3" fontId="1" fillId="2" borderId="0" xfId="0" applyNumberFormat="1" applyFont="1" applyFill="1" applyAlignment="1">
      <alignment vertical="center"/>
    </xf>
    <xf numFmtId="0" fontId="1" fillId="8" borderId="25" xfId="0" applyFont="1" applyFill="1" applyBorder="1" applyAlignment="1">
      <alignment horizontal="center" vertical="center"/>
    </xf>
    <xf numFmtId="3" fontId="1" fillId="6" borderId="9" xfId="0" applyNumberFormat="1" applyFont="1" applyFill="1" applyBorder="1" applyAlignment="1" applyProtection="1">
      <alignment horizontal="center" vertical="center"/>
      <protection hidden="1"/>
    </xf>
    <xf numFmtId="167" fontId="1" fillId="6" borderId="59" xfId="0" applyNumberFormat="1" applyFont="1" applyFill="1" applyBorder="1" applyAlignment="1" applyProtection="1">
      <alignment horizontal="center" vertical="center"/>
      <protection hidden="1"/>
    </xf>
    <xf numFmtId="167" fontId="1" fillId="0" borderId="0" xfId="0" applyNumberFormat="1" applyFont="1" applyAlignment="1" applyProtection="1">
      <alignment vertical="center"/>
      <protection hidden="1"/>
    </xf>
    <xf numFmtId="3" fontId="1" fillId="0" borderId="0" xfId="0" applyNumberFormat="1" applyFont="1"/>
    <xf numFmtId="0" fontId="64" fillId="0" borderId="0" xfId="0" applyFont="1" applyAlignment="1">
      <alignment vertical="top" wrapText="1"/>
    </xf>
    <xf numFmtId="0" fontId="6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5" fillId="0" borderId="0" xfId="0" applyFont="1" applyAlignment="1">
      <alignment horizontal="left"/>
    </xf>
    <xf numFmtId="0" fontId="4" fillId="0" borderId="0" xfId="0" applyFont="1" applyAlignment="1">
      <alignment horizontal="center" vertical="center"/>
    </xf>
    <xf numFmtId="0" fontId="70" fillId="0" borderId="0" xfId="0" applyFont="1" applyAlignment="1">
      <alignment horizontal="center"/>
    </xf>
    <xf numFmtId="0" fontId="10" fillId="7" borderId="21" xfId="0" applyFont="1" applyFill="1" applyBorder="1" applyAlignment="1" applyProtection="1">
      <alignment horizontal="left" vertical="center"/>
      <protection locked="0"/>
    </xf>
    <xf numFmtId="0" fontId="10" fillId="7" borderId="11" xfId="0" applyFont="1" applyFill="1" applyBorder="1" applyAlignment="1" applyProtection="1">
      <alignment horizontal="left" vertical="center"/>
      <protection locked="0"/>
    </xf>
    <xf numFmtId="0" fontId="10" fillId="7" borderId="67" xfId="0" applyFont="1" applyFill="1" applyBorder="1" applyAlignment="1" applyProtection="1">
      <alignment horizontal="left" vertical="center"/>
      <protection locked="0"/>
    </xf>
    <xf numFmtId="0" fontId="9" fillId="0" borderId="168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9" fillId="0" borderId="13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4" fillId="7" borderId="40" xfId="0" applyFont="1" applyFill="1" applyBorder="1" applyAlignment="1" applyProtection="1">
      <alignment horizontal="left" vertical="center"/>
      <protection locked="0"/>
    </xf>
    <xf numFmtId="0" fontId="4" fillId="7" borderId="17" xfId="0" applyFont="1" applyFill="1" applyBorder="1" applyAlignment="1" applyProtection="1">
      <alignment horizontal="left" vertical="center"/>
      <protection locked="0"/>
    </xf>
    <xf numFmtId="0" fontId="4" fillId="7" borderId="59" xfId="0" applyFont="1" applyFill="1" applyBorder="1" applyAlignment="1" applyProtection="1">
      <alignment horizontal="left" vertical="center"/>
      <protection locked="0"/>
    </xf>
    <xf numFmtId="0" fontId="64" fillId="11" borderId="13" xfId="0" applyFont="1" applyFill="1" applyBorder="1" applyAlignment="1">
      <alignment horizontal="left" vertical="center" indent="2"/>
    </xf>
    <xf numFmtId="0" fontId="64" fillId="11" borderId="3" xfId="0" applyFont="1" applyFill="1" applyBorder="1" applyAlignment="1">
      <alignment horizontal="left" vertical="center" indent="2"/>
    </xf>
    <xf numFmtId="0" fontId="64" fillId="11" borderId="14" xfId="0" applyFont="1" applyFill="1" applyBorder="1" applyAlignment="1">
      <alignment horizontal="left" vertical="center" indent="2"/>
    </xf>
    <xf numFmtId="0" fontId="64" fillId="11" borderId="34" xfId="0" applyFont="1" applyFill="1" applyBorder="1" applyAlignment="1">
      <alignment horizontal="left" vertical="center" indent="2"/>
    </xf>
    <xf numFmtId="0" fontId="10" fillId="0" borderId="11" xfId="0" applyFont="1" applyBorder="1" applyAlignment="1">
      <alignment horizontal="left" vertical="center"/>
    </xf>
    <xf numFmtId="0" fontId="10" fillId="0" borderId="43" xfId="0" applyFont="1" applyBorder="1" applyAlignment="1">
      <alignment horizontal="left" vertical="center"/>
    </xf>
    <xf numFmtId="0" fontId="10" fillId="7" borderId="43" xfId="0" applyFont="1" applyFill="1" applyBorder="1" applyAlignment="1" applyProtection="1">
      <alignment horizontal="left" vertical="center"/>
      <protection locked="0"/>
    </xf>
    <xf numFmtId="0" fontId="6" fillId="0" borderId="0" xfId="0" applyFont="1" applyAlignment="1">
      <alignment horizontal="left" vertical="center"/>
    </xf>
    <xf numFmtId="49" fontId="1" fillId="7" borderId="34" xfId="0" applyNumberFormat="1" applyFont="1" applyFill="1" applyBorder="1" applyAlignment="1" applyProtection="1">
      <alignment horizontal="left" vertical="center"/>
      <protection locked="0"/>
    </xf>
    <xf numFmtId="49" fontId="1" fillId="7" borderId="69" xfId="0" applyNumberFormat="1" applyFont="1" applyFill="1" applyBorder="1" applyAlignment="1" applyProtection="1">
      <alignment horizontal="left" vertical="center"/>
      <protection locked="0"/>
    </xf>
    <xf numFmtId="0" fontId="51" fillId="0" borderId="0" xfId="0" applyFont="1" applyAlignment="1">
      <alignment horizontal="center" vertical="center"/>
    </xf>
    <xf numFmtId="6" fontId="69" fillId="11" borderId="30" xfId="0" applyNumberFormat="1" applyFont="1" applyFill="1" applyBorder="1" applyAlignment="1">
      <alignment horizontal="center" vertical="center"/>
    </xf>
    <xf numFmtId="6" fontId="69" fillId="11" borderId="65" xfId="0" applyNumberFormat="1" applyFont="1" applyFill="1" applyBorder="1" applyAlignment="1">
      <alignment horizontal="center" vertical="center"/>
    </xf>
    <xf numFmtId="14" fontId="4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7" fillId="0" borderId="8" xfId="0" applyFont="1" applyBorder="1" applyAlignment="1">
      <alignment horizontal="left" vertical="center"/>
    </xf>
    <xf numFmtId="0" fontId="7" fillId="0" borderId="58" xfId="0" applyFont="1" applyBorder="1" applyAlignment="1">
      <alignment horizontal="left" vertical="center"/>
    </xf>
    <xf numFmtId="0" fontId="1" fillId="7" borderId="0" xfId="0" applyFont="1" applyFill="1" applyAlignment="1" applyProtection="1">
      <alignment horizontal="left" vertical="center"/>
      <protection locked="0"/>
    </xf>
    <xf numFmtId="0" fontId="1" fillId="7" borderId="17" xfId="0" applyFont="1" applyFill="1" applyBorder="1" applyAlignment="1" applyProtection="1">
      <alignment horizontal="left" vertical="center"/>
      <protection locked="0"/>
    </xf>
    <xf numFmtId="0" fontId="1" fillId="7" borderId="68" xfId="0" applyFont="1" applyFill="1" applyBorder="1" applyAlignment="1" applyProtection="1">
      <alignment horizontal="left" vertical="center"/>
      <protection locked="0"/>
    </xf>
    <xf numFmtId="49" fontId="1" fillId="7" borderId="17" xfId="0" applyNumberFormat="1" applyFont="1" applyFill="1" applyBorder="1" applyAlignment="1" applyProtection="1">
      <alignment horizontal="left" vertical="center"/>
      <protection locked="0"/>
    </xf>
    <xf numFmtId="49" fontId="1" fillId="7" borderId="68" xfId="0" applyNumberFormat="1" applyFont="1" applyFill="1" applyBorder="1" applyAlignment="1" applyProtection="1">
      <alignment horizontal="left" vertical="center"/>
      <protection locked="0"/>
    </xf>
    <xf numFmtId="0" fontId="1" fillId="7" borderId="27" xfId="0" applyFont="1" applyFill="1" applyBorder="1" applyAlignment="1" applyProtection="1">
      <alignment horizontal="left" vertical="top"/>
      <protection locked="0"/>
    </xf>
    <xf numFmtId="0" fontId="1" fillId="7" borderId="0" xfId="0" applyFont="1" applyFill="1" applyAlignment="1" applyProtection="1">
      <alignment horizontal="left" vertical="top"/>
      <protection locked="0"/>
    </xf>
    <xf numFmtId="0" fontId="1" fillId="7" borderId="31" xfId="0" applyFont="1" applyFill="1" applyBorder="1" applyAlignment="1" applyProtection="1">
      <alignment horizontal="left" vertical="top"/>
      <protection locked="0"/>
    </xf>
    <xf numFmtId="0" fontId="1" fillId="7" borderId="14" xfId="0" applyFont="1" applyFill="1" applyBorder="1" applyAlignment="1" applyProtection="1">
      <alignment horizontal="left" vertical="top"/>
      <protection locked="0"/>
    </xf>
    <xf numFmtId="0" fontId="1" fillId="7" borderId="34" xfId="0" applyFont="1" applyFill="1" applyBorder="1" applyAlignment="1" applyProtection="1">
      <alignment horizontal="left" vertical="top"/>
      <protection locked="0"/>
    </xf>
    <xf numFmtId="0" fontId="1" fillId="7" borderId="42" xfId="0" applyFont="1" applyFill="1" applyBorder="1" applyAlignment="1" applyProtection="1">
      <alignment horizontal="left" vertical="top"/>
      <protection locked="0"/>
    </xf>
    <xf numFmtId="0" fontId="69" fillId="11" borderId="3" xfId="0" applyFont="1" applyFill="1" applyBorder="1" applyAlignment="1">
      <alignment horizontal="center" vertical="center"/>
    </xf>
    <xf numFmtId="0" fontId="69" fillId="11" borderId="2" xfId="0" applyFont="1" applyFill="1" applyBorder="1" applyAlignment="1">
      <alignment horizontal="center" vertical="center"/>
    </xf>
    <xf numFmtId="0" fontId="69" fillId="11" borderId="13" xfId="0" applyFont="1" applyFill="1" applyBorder="1" applyAlignment="1">
      <alignment horizontal="center" vertical="center"/>
    </xf>
    <xf numFmtId="0" fontId="69" fillId="11" borderId="29" xfId="0" applyFont="1" applyFill="1" applyBorder="1" applyAlignment="1">
      <alignment horizontal="center" vertical="center" wrapText="1"/>
    </xf>
    <xf numFmtId="0" fontId="69" fillId="11" borderId="60" xfId="0" applyFont="1" applyFill="1" applyBorder="1" applyAlignment="1">
      <alignment horizontal="center" vertical="center" wrapText="1"/>
    </xf>
    <xf numFmtId="0" fontId="69" fillId="11" borderId="62" xfId="0" applyFont="1" applyFill="1" applyBorder="1" applyAlignment="1">
      <alignment horizontal="center" vertical="center" wrapText="1"/>
    </xf>
    <xf numFmtId="0" fontId="73" fillId="11" borderId="29" xfId="0" applyFont="1" applyFill="1" applyBorder="1" applyAlignment="1">
      <alignment horizontal="center" vertical="center" wrapText="1"/>
    </xf>
    <xf numFmtId="0" fontId="73" fillId="11" borderId="60" xfId="0" applyFont="1" applyFill="1" applyBorder="1" applyAlignment="1">
      <alignment horizontal="center" vertical="center" wrapText="1"/>
    </xf>
    <xf numFmtId="0" fontId="73" fillId="11" borderId="62" xfId="0" applyFont="1" applyFill="1" applyBorder="1" applyAlignment="1">
      <alignment horizontal="center" vertical="center" wrapText="1"/>
    </xf>
    <xf numFmtId="0" fontId="69" fillId="11" borderId="30" xfId="0" applyFont="1" applyFill="1" applyBorder="1" applyAlignment="1">
      <alignment horizontal="center" vertical="center" wrapText="1"/>
    </xf>
    <xf numFmtId="0" fontId="69" fillId="11" borderId="61" xfId="0" applyFont="1" applyFill="1" applyBorder="1" applyAlignment="1">
      <alignment horizontal="center" vertical="center" wrapText="1"/>
    </xf>
    <xf numFmtId="0" fontId="69" fillId="11" borderId="65" xfId="0" applyFont="1" applyFill="1" applyBorder="1" applyAlignment="1">
      <alignment horizontal="center" vertical="center" wrapText="1"/>
    </xf>
    <xf numFmtId="0" fontId="54" fillId="11" borderId="47" xfId="0" applyFont="1" applyFill="1" applyBorder="1" applyAlignment="1">
      <alignment horizontal="center" vertical="center" wrapText="1"/>
    </xf>
    <xf numFmtId="0" fontId="54" fillId="11" borderId="51" xfId="0" applyFont="1" applyFill="1" applyBorder="1" applyAlignment="1">
      <alignment horizontal="center" vertical="center" wrapText="1"/>
    </xf>
    <xf numFmtId="0" fontId="70" fillId="11" borderId="16" xfId="0" applyFont="1" applyFill="1" applyBorder="1" applyAlignment="1">
      <alignment horizontal="center" vertical="center"/>
    </xf>
    <xf numFmtId="0" fontId="70" fillId="11" borderId="5" xfId="0" applyFont="1" applyFill="1" applyBorder="1" applyAlignment="1">
      <alignment horizontal="center" vertical="center"/>
    </xf>
    <xf numFmtId="0" fontId="70" fillId="11" borderId="25" xfId="0" applyFont="1" applyFill="1" applyBorder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69" fillId="11" borderId="27" xfId="0" applyFont="1" applyFill="1" applyBorder="1" applyAlignment="1">
      <alignment horizontal="center" vertical="center"/>
    </xf>
    <xf numFmtId="0" fontId="69" fillId="11" borderId="0" xfId="0" applyFont="1" applyFill="1" applyAlignment="1">
      <alignment horizontal="center" vertical="center"/>
    </xf>
    <xf numFmtId="0" fontId="4" fillId="0" borderId="0" xfId="0" applyFont="1" applyAlignment="1">
      <alignment horizontal="left" vertical="center"/>
    </xf>
    <xf numFmtId="1" fontId="69" fillId="11" borderId="27" xfId="0" applyNumberFormat="1" applyFont="1" applyFill="1" applyBorder="1" applyAlignment="1">
      <alignment horizontal="center" vertical="center"/>
    </xf>
    <xf numFmtId="0" fontId="69" fillId="11" borderId="28" xfId="0" applyFont="1" applyFill="1" applyBorder="1" applyAlignment="1">
      <alignment horizontal="center" vertical="center"/>
    </xf>
    <xf numFmtId="14" fontId="4" fillId="0" borderId="0" xfId="0" applyNumberFormat="1" applyFont="1" applyAlignment="1">
      <alignment horizontal="left" vertical="center"/>
    </xf>
    <xf numFmtId="1" fontId="54" fillId="11" borderId="40" xfId="0" applyNumberFormat="1" applyFont="1" applyFill="1" applyBorder="1" applyAlignment="1">
      <alignment horizontal="center"/>
    </xf>
    <xf numFmtId="1" fontId="54" fillId="11" borderId="68" xfId="0" applyNumberFormat="1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69" fillId="11" borderId="13" xfId="0" applyFont="1" applyFill="1" applyBorder="1" applyAlignment="1">
      <alignment horizontal="center" vertical="center" wrapText="1"/>
    </xf>
    <xf numFmtId="0" fontId="69" fillId="11" borderId="2" xfId="0" applyFont="1" applyFill="1" applyBorder="1" applyAlignment="1">
      <alignment horizontal="center" vertical="center" wrapText="1"/>
    </xf>
    <xf numFmtId="0" fontId="71" fillId="11" borderId="27" xfId="0" applyFont="1" applyFill="1" applyBorder="1" applyAlignment="1">
      <alignment horizontal="center" vertical="center" wrapText="1"/>
    </xf>
    <xf numFmtId="0" fontId="71" fillId="11" borderId="28" xfId="0" applyFont="1" applyFill="1" applyBorder="1" applyAlignment="1">
      <alignment horizontal="center" vertical="center" wrapText="1"/>
    </xf>
    <xf numFmtId="0" fontId="71" fillId="11" borderId="40" xfId="0" applyFont="1" applyFill="1" applyBorder="1" applyAlignment="1">
      <alignment horizontal="center" vertical="center" wrapText="1"/>
    </xf>
    <xf numFmtId="0" fontId="71" fillId="11" borderId="68" xfId="0" applyFont="1" applyFill="1" applyBorder="1" applyAlignment="1">
      <alignment horizontal="center" vertical="center" wrapText="1"/>
    </xf>
    <xf numFmtId="0" fontId="10" fillId="0" borderId="24" xfId="0" applyFont="1" applyBorder="1" applyAlignment="1" applyProtection="1">
      <alignment vertical="center"/>
      <protection locked="0"/>
    </xf>
    <xf numFmtId="0" fontId="10" fillId="0" borderId="17" xfId="0" applyFont="1" applyBorder="1" applyAlignment="1" applyProtection="1">
      <alignment vertical="center"/>
      <protection locked="0"/>
    </xf>
    <xf numFmtId="0" fontId="54" fillId="11" borderId="13" xfId="0" applyFont="1" applyFill="1" applyBorder="1" applyAlignment="1" applyProtection="1">
      <alignment horizontal="center" vertical="center"/>
      <protection hidden="1"/>
    </xf>
    <xf numFmtId="0" fontId="54" fillId="11" borderId="2" xfId="0" applyFont="1" applyFill="1" applyBorder="1" applyAlignment="1" applyProtection="1">
      <alignment horizontal="center" vertical="center"/>
      <protection hidden="1"/>
    </xf>
    <xf numFmtId="0" fontId="9" fillId="0" borderId="41" xfId="0" applyFont="1" applyBorder="1" applyAlignment="1">
      <alignment horizontal="center"/>
    </xf>
    <xf numFmtId="0" fontId="9" fillId="0" borderId="165" xfId="0" applyFont="1" applyBorder="1" applyAlignment="1">
      <alignment horizontal="center"/>
    </xf>
    <xf numFmtId="0" fontId="9" fillId="7" borderId="41" xfId="0" applyFont="1" applyFill="1" applyBorder="1" applyAlignment="1" applyProtection="1">
      <alignment horizontal="center"/>
      <protection locked="0"/>
    </xf>
    <xf numFmtId="0" fontId="9" fillId="7" borderId="165" xfId="0" applyFont="1" applyFill="1" applyBorder="1" applyAlignment="1" applyProtection="1">
      <alignment horizontal="center"/>
      <protection locked="0"/>
    </xf>
    <xf numFmtId="9" fontId="10" fillId="0" borderId="27" xfId="0" applyNumberFormat="1" applyFont="1" applyBorder="1" applyAlignment="1">
      <alignment horizontal="left" vertical="center"/>
    </xf>
    <xf numFmtId="9" fontId="10" fillId="0" borderId="0" xfId="0" applyNumberFormat="1" applyFont="1" applyAlignment="1">
      <alignment horizontal="left" vertical="center"/>
    </xf>
    <xf numFmtId="0" fontId="5" fillId="0" borderId="66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0" fontId="9" fillId="0" borderId="27" xfId="0" applyFont="1" applyBorder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4" fillId="0" borderId="0" xfId="0" applyFont="1" applyAlignment="1">
      <alignment horizontal="left"/>
    </xf>
    <xf numFmtId="0" fontId="64" fillId="11" borderId="13" xfId="0" applyFont="1" applyFill="1" applyBorder="1" applyAlignment="1">
      <alignment horizontal="center" vertical="center" wrapText="1"/>
    </xf>
    <xf numFmtId="0" fontId="72" fillId="11" borderId="3" xfId="0" applyFont="1" applyFill="1" applyBorder="1" applyAlignment="1">
      <alignment horizontal="center" vertical="center" wrapText="1"/>
    </xf>
    <xf numFmtId="0" fontId="72" fillId="11" borderId="40" xfId="0" applyFont="1" applyFill="1" applyBorder="1" applyAlignment="1">
      <alignment horizontal="center" vertical="center" wrapText="1"/>
    </xf>
    <xf numFmtId="0" fontId="72" fillId="11" borderId="17" xfId="0" applyFont="1" applyFill="1" applyBorder="1" applyAlignment="1">
      <alignment horizontal="center" vertical="center" wrapText="1"/>
    </xf>
    <xf numFmtId="0" fontId="9" fillId="0" borderId="17" xfId="0" applyFont="1" applyBorder="1" applyAlignment="1">
      <alignment horizontal="center"/>
    </xf>
    <xf numFmtId="0" fontId="9" fillId="3" borderId="13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40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4" fillId="3" borderId="68" xfId="0" applyFont="1" applyFill="1" applyBorder="1" applyAlignment="1">
      <alignment horizontal="center" vertical="center"/>
    </xf>
    <xf numFmtId="167" fontId="10" fillId="0" borderId="11" xfId="0" applyNumberFormat="1" applyFont="1" applyBorder="1" applyAlignment="1">
      <alignment horizontal="center"/>
    </xf>
    <xf numFmtId="167" fontId="10" fillId="0" borderId="43" xfId="0" applyNumberFormat="1" applyFont="1" applyBorder="1" applyAlignment="1">
      <alignment horizontal="center"/>
    </xf>
    <xf numFmtId="167" fontId="10" fillId="0" borderId="21" xfId="0" applyNumberFormat="1" applyFont="1" applyBorder="1" applyAlignment="1">
      <alignment horizontal="center"/>
    </xf>
    <xf numFmtId="3" fontId="4" fillId="3" borderId="13" xfId="0" applyNumberFormat="1" applyFont="1" applyFill="1" applyBorder="1" applyAlignment="1">
      <alignment horizontal="center"/>
    </xf>
    <xf numFmtId="3" fontId="4" fillId="3" borderId="3" xfId="0" applyNumberFormat="1" applyFont="1" applyFill="1" applyBorder="1" applyAlignment="1">
      <alignment horizontal="center"/>
    </xf>
    <xf numFmtId="3" fontId="4" fillId="3" borderId="2" xfId="0" applyNumberFormat="1" applyFont="1" applyFill="1" applyBorder="1" applyAlignment="1">
      <alignment horizontal="center"/>
    </xf>
    <xf numFmtId="0" fontId="4" fillId="3" borderId="47" xfId="0" applyFont="1" applyFill="1" applyBorder="1" applyAlignment="1">
      <alignment horizontal="center" vertical="center"/>
    </xf>
    <xf numFmtId="0" fontId="4" fillId="3" borderId="29" xfId="0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center" vertical="center"/>
    </xf>
    <xf numFmtId="1" fontId="4" fillId="0" borderId="0" xfId="0" applyNumberFormat="1" applyFont="1" applyAlignment="1" applyProtection="1">
      <alignment horizontal="right"/>
      <protection hidden="1"/>
    </xf>
    <xf numFmtId="0" fontId="4" fillId="6" borderId="40" xfId="0" applyFont="1" applyFill="1" applyBorder="1" applyAlignment="1">
      <alignment horizontal="center" vertical="center"/>
    </xf>
    <xf numFmtId="0" fontId="4" fillId="6" borderId="17" xfId="0" applyFont="1" applyFill="1" applyBorder="1" applyAlignment="1">
      <alignment horizontal="center" vertical="center"/>
    </xf>
    <xf numFmtId="0" fontId="4" fillId="6" borderId="68" xfId="0" applyFont="1" applyFill="1" applyBorder="1" applyAlignment="1">
      <alignment horizontal="center" vertical="center"/>
    </xf>
    <xf numFmtId="3" fontId="4" fillId="6" borderId="13" xfId="0" applyNumberFormat="1" applyFont="1" applyFill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0" fontId="4" fillId="6" borderId="13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/>
    </xf>
    <xf numFmtId="0" fontId="4" fillId="6" borderId="67" xfId="0" applyFont="1" applyFill="1" applyBorder="1" applyAlignment="1">
      <alignment horizontal="center"/>
    </xf>
    <xf numFmtId="3" fontId="10" fillId="0" borderId="24" xfId="0" applyNumberFormat="1" applyFont="1" applyBorder="1" applyAlignment="1" applyProtection="1">
      <alignment horizontal="center" vertical="center"/>
      <protection hidden="1"/>
    </xf>
    <xf numFmtId="3" fontId="10" fillId="0" borderId="59" xfId="0" applyNumberFormat="1" applyFont="1" applyBorder="1" applyAlignment="1" applyProtection="1">
      <alignment horizontal="center" vertical="center"/>
      <protection hidden="1"/>
    </xf>
    <xf numFmtId="0" fontId="4" fillId="6" borderId="27" xfId="0" applyFont="1" applyFill="1" applyBorder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3" fontId="0" fillId="0" borderId="18" xfId="0" applyNumberFormat="1" applyBorder="1" applyAlignment="1">
      <alignment horizontal="center"/>
    </xf>
    <xf numFmtId="3" fontId="0" fillId="0" borderId="21" xfId="0" applyNumberFormat="1" applyBorder="1" applyAlignment="1">
      <alignment horizontal="center"/>
    </xf>
    <xf numFmtId="167" fontId="10" fillId="0" borderId="18" xfId="0" applyNumberFormat="1" applyFont="1" applyBorder="1" applyAlignment="1">
      <alignment horizontal="center"/>
    </xf>
    <xf numFmtId="1" fontId="4" fillId="3" borderId="40" xfId="0" applyNumberFormat="1" applyFont="1" applyFill="1" applyBorder="1" applyAlignment="1">
      <alignment horizontal="center"/>
    </xf>
    <xf numFmtId="1" fontId="4" fillId="3" borderId="68" xfId="0" applyNumberFormat="1" applyFont="1" applyFill="1" applyBorder="1" applyAlignment="1">
      <alignment horizontal="center"/>
    </xf>
    <xf numFmtId="0" fontId="4" fillId="3" borderId="13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3" fontId="10" fillId="0" borderId="18" xfId="0" applyNumberFormat="1" applyFont="1" applyBorder="1" applyAlignment="1" applyProtection="1">
      <alignment horizontal="center" vertical="center"/>
      <protection hidden="1"/>
    </xf>
    <xf numFmtId="0" fontId="10" fillId="0" borderId="232" xfId="0" applyFont="1" applyBorder="1" applyAlignment="1">
      <alignment horizontal="right"/>
    </xf>
    <xf numFmtId="0" fontId="75" fillId="0" borderId="144" xfId="0" applyFont="1" applyBorder="1" applyAlignment="1" applyProtection="1">
      <alignment horizontal="right" vertical="center"/>
      <protection hidden="1"/>
    </xf>
    <xf numFmtId="0" fontId="75" fillId="0" borderId="145" xfId="0" applyFont="1" applyBorder="1" applyAlignment="1" applyProtection="1">
      <alignment horizontal="right" vertical="center"/>
      <protection hidden="1"/>
    </xf>
    <xf numFmtId="0" fontId="2" fillId="0" borderId="0" xfId="0" applyFont="1" applyAlignment="1" applyProtection="1">
      <alignment horizontal="right" vertical="top" wrapText="1"/>
      <protection hidden="1"/>
    </xf>
    <xf numFmtId="0" fontId="75" fillId="0" borderId="220" xfId="0" applyFont="1" applyBorder="1" applyAlignment="1" applyProtection="1">
      <alignment horizontal="right" vertical="center"/>
      <protection locked="0" hidden="1"/>
    </xf>
    <xf numFmtId="0" fontId="75" fillId="0" borderId="203" xfId="0" applyFont="1" applyBorder="1" applyAlignment="1" applyProtection="1">
      <alignment horizontal="right" vertical="center"/>
      <protection locked="0" hidden="1"/>
    </xf>
    <xf numFmtId="0" fontId="75" fillId="0" borderId="221" xfId="0" applyFont="1" applyBorder="1" applyAlignment="1" applyProtection="1">
      <alignment horizontal="right" vertical="center"/>
      <protection locked="0" hidden="1"/>
    </xf>
    <xf numFmtId="0" fontId="10" fillId="0" borderId="145" xfId="0" quotePrefix="1" applyFont="1" applyBorder="1" applyAlignment="1">
      <alignment horizontal="left" vertical="center"/>
    </xf>
    <xf numFmtId="0" fontId="75" fillId="0" borderId="74" xfId="0" applyFont="1" applyBorder="1" applyAlignment="1" applyProtection="1">
      <alignment horizontal="right" vertical="center"/>
      <protection hidden="1"/>
    </xf>
    <xf numFmtId="0" fontId="75" fillId="0" borderId="44" xfId="0" applyFont="1" applyBorder="1" applyAlignment="1" applyProtection="1">
      <alignment horizontal="right" vertical="center"/>
      <protection hidden="1"/>
    </xf>
    <xf numFmtId="0" fontId="64" fillId="11" borderId="13" xfId="0" applyFont="1" applyFill="1" applyBorder="1" applyAlignment="1" applyProtection="1">
      <alignment horizontal="center" vertical="center"/>
      <protection hidden="1"/>
    </xf>
    <xf numFmtId="0" fontId="64" fillId="11" borderId="3" xfId="0" applyFont="1" applyFill="1" applyBorder="1" applyAlignment="1" applyProtection="1">
      <alignment horizontal="center" vertical="center"/>
      <protection hidden="1"/>
    </xf>
    <xf numFmtId="0" fontId="64" fillId="11" borderId="27" xfId="0" applyFont="1" applyFill="1" applyBorder="1" applyAlignment="1" applyProtection="1">
      <alignment horizontal="center" vertical="center"/>
      <protection hidden="1"/>
    </xf>
    <xf numFmtId="0" fontId="64" fillId="11" borderId="0" xfId="0" applyFont="1" applyFill="1" applyAlignment="1" applyProtection="1">
      <alignment horizontal="center" vertical="center"/>
      <protection hidden="1"/>
    </xf>
    <xf numFmtId="0" fontId="4" fillId="0" borderId="27" xfId="0" applyFont="1" applyBorder="1" applyAlignment="1">
      <alignment horizontal="left" vertical="center"/>
    </xf>
    <xf numFmtId="0" fontId="10" fillId="0" borderId="141" xfId="0" applyFont="1" applyBorder="1" applyAlignment="1" applyProtection="1">
      <alignment vertical="center"/>
      <protection hidden="1"/>
    </xf>
    <xf numFmtId="0" fontId="10" fillId="0" borderId="73" xfId="0" applyFont="1" applyBorder="1" applyAlignment="1" applyProtection="1">
      <alignment vertical="center"/>
      <protection hidden="1"/>
    </xf>
    <xf numFmtId="0" fontId="10" fillId="0" borderId="85" xfId="0" applyFont="1" applyBorder="1" applyAlignment="1" applyProtection="1">
      <alignment vertical="center"/>
      <protection hidden="1"/>
    </xf>
    <xf numFmtId="0" fontId="10" fillId="0" borderId="44" xfId="0" applyFont="1" applyBorder="1" applyAlignment="1">
      <alignment horizontal="left" vertical="center"/>
    </xf>
    <xf numFmtId="0" fontId="1" fillId="0" borderId="0" xfId="0" applyFont="1" applyAlignment="1" applyProtection="1">
      <alignment horizontal="center"/>
      <protection hidden="1"/>
    </xf>
    <xf numFmtId="0" fontId="10" fillId="0" borderId="160" xfId="0" applyFont="1" applyBorder="1" applyAlignment="1" applyProtection="1">
      <alignment horizontal="left" vertical="center"/>
      <protection hidden="1"/>
    </xf>
    <xf numFmtId="0" fontId="10" fillId="0" borderId="71" xfId="0" applyFont="1" applyBorder="1" applyAlignment="1" applyProtection="1">
      <alignment horizontal="left" vertical="center"/>
      <protection hidden="1"/>
    </xf>
    <xf numFmtId="0" fontId="10" fillId="0" borderId="84" xfId="0" applyFont="1" applyBorder="1" applyAlignment="1" applyProtection="1">
      <alignment horizontal="left" vertical="center"/>
      <protection hidden="1"/>
    </xf>
    <xf numFmtId="0" fontId="10" fillId="0" borderId="141" xfId="0" applyFont="1" applyBorder="1" applyAlignment="1" applyProtection="1">
      <alignment horizontal="left" vertical="center"/>
      <protection hidden="1"/>
    </xf>
    <xf numFmtId="0" fontId="10" fillId="0" borderId="73" xfId="0" applyFont="1" applyBorder="1" applyAlignment="1" applyProtection="1">
      <alignment horizontal="left" vertical="center"/>
      <protection hidden="1"/>
    </xf>
    <xf numFmtId="0" fontId="10" fillId="0" borderId="85" xfId="0" applyFont="1" applyBorder="1" applyAlignment="1" applyProtection="1">
      <alignment horizontal="left" vertical="center"/>
      <protection hidden="1"/>
    </xf>
    <xf numFmtId="0" fontId="10" fillId="0" borderId="167" xfId="0" applyFont="1" applyBorder="1" applyAlignment="1">
      <alignment horizontal="left" vertical="center" wrapText="1"/>
    </xf>
    <xf numFmtId="0" fontId="10" fillId="0" borderId="44" xfId="0" applyFont="1" applyBorder="1" applyAlignment="1">
      <alignment horizontal="left" vertical="center" wrapText="1"/>
    </xf>
    <xf numFmtId="0" fontId="10" fillId="0" borderId="145" xfId="0" applyFont="1" applyBorder="1" applyAlignment="1">
      <alignment horizontal="left" vertical="center"/>
    </xf>
    <xf numFmtId="0" fontId="64" fillId="11" borderId="13" xfId="0" applyFont="1" applyFill="1" applyBorder="1" applyAlignment="1">
      <alignment horizontal="left" vertical="center"/>
    </xf>
    <xf numFmtId="0" fontId="64" fillId="11" borderId="3" xfId="0" applyFont="1" applyFill="1" applyBorder="1" applyAlignment="1">
      <alignment horizontal="left" vertical="center"/>
    </xf>
    <xf numFmtId="0" fontId="64" fillId="11" borderId="40" xfId="0" applyFont="1" applyFill="1" applyBorder="1" applyAlignment="1">
      <alignment horizontal="left" vertical="center"/>
    </xf>
    <xf numFmtId="0" fontId="64" fillId="11" borderId="17" xfId="0" applyFont="1" applyFill="1" applyBorder="1" applyAlignment="1">
      <alignment horizontal="left" vertical="center"/>
    </xf>
    <xf numFmtId="0" fontId="7" fillId="0" borderId="0" xfId="0" applyFont="1" applyAlignment="1" applyProtection="1">
      <alignment horizontal="left" vertical="center"/>
      <protection hidden="1"/>
    </xf>
    <xf numFmtId="2" fontId="4" fillId="0" borderId="17" xfId="0" applyNumberFormat="1" applyFont="1" applyBorder="1" applyAlignment="1">
      <alignment horizontal="left" vertical="center"/>
    </xf>
    <xf numFmtId="1" fontId="1" fillId="0" borderId="0" xfId="0" applyNumberFormat="1" applyFont="1" applyAlignment="1">
      <alignment horizontal="left" vertical="center"/>
    </xf>
    <xf numFmtId="0" fontId="4" fillId="0" borderId="17" xfId="0" applyFont="1" applyBorder="1" applyAlignment="1" applyProtection="1">
      <alignment horizontal="left" vertical="center"/>
      <protection hidden="1"/>
    </xf>
    <xf numFmtId="1" fontId="1" fillId="0" borderId="0" xfId="0" applyNumberFormat="1" applyFont="1" applyAlignment="1" applyProtection="1">
      <alignment horizontal="left" vertical="center"/>
      <protection hidden="1"/>
    </xf>
    <xf numFmtId="0" fontId="7" fillId="0" borderId="0" xfId="0" applyFont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13" fillId="0" borderId="74" xfId="0" applyFont="1" applyBorder="1" applyAlignment="1" applyProtection="1">
      <alignment horizontal="left" vertical="center" indent="1"/>
      <protection hidden="1"/>
    </xf>
    <xf numFmtId="0" fontId="13" fillId="0" borderId="44" xfId="0" applyFont="1" applyBorder="1" applyAlignment="1" applyProtection="1">
      <alignment horizontal="left" vertical="center" indent="1"/>
      <protection hidden="1"/>
    </xf>
    <xf numFmtId="0" fontId="13" fillId="0" borderId="45" xfId="0" applyFont="1" applyBorder="1" applyAlignment="1" applyProtection="1">
      <alignment horizontal="left" vertical="center" indent="1"/>
      <protection hidden="1"/>
    </xf>
    <xf numFmtId="0" fontId="13" fillId="0" borderId="74" xfId="0" applyFont="1" applyBorder="1" applyAlignment="1">
      <alignment horizontal="left" vertical="center" indent="1"/>
    </xf>
    <xf numFmtId="0" fontId="13" fillId="0" borderId="44" xfId="0" applyFont="1" applyBorder="1" applyAlignment="1">
      <alignment horizontal="left" vertical="center" indent="1"/>
    </xf>
    <xf numFmtId="0" fontId="13" fillId="0" borderId="45" xfId="0" applyFont="1" applyBorder="1" applyAlignment="1">
      <alignment horizontal="left" vertical="center" indent="1"/>
    </xf>
    <xf numFmtId="0" fontId="10" fillId="0" borderId="45" xfId="0" applyFont="1" applyBorder="1" applyAlignment="1">
      <alignment horizontal="left" vertical="center"/>
    </xf>
    <xf numFmtId="0" fontId="2" fillId="0" borderId="24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4" fillId="0" borderId="31" xfId="0" applyFont="1" applyBorder="1" applyAlignment="1">
      <alignment horizontal="left" vertical="center"/>
    </xf>
    <xf numFmtId="0" fontId="54" fillId="11" borderId="26" xfId="0" applyFont="1" applyFill="1" applyBorder="1" applyAlignment="1">
      <alignment horizontal="center" vertical="center"/>
    </xf>
    <xf numFmtId="0" fontId="54" fillId="11" borderId="0" xfId="0" applyFont="1" applyFill="1" applyAlignment="1">
      <alignment horizontal="center" vertical="center"/>
    </xf>
    <xf numFmtId="0" fontId="54" fillId="11" borderId="31" xfId="0" applyFont="1" applyFill="1" applyBorder="1" applyAlignment="1">
      <alignment horizontal="center" vertical="center"/>
    </xf>
    <xf numFmtId="0" fontId="54" fillId="11" borderId="57" xfId="0" applyFont="1" applyFill="1" applyBorder="1" applyAlignment="1">
      <alignment horizontal="center" vertical="center"/>
    </xf>
    <xf numFmtId="0" fontId="54" fillId="11" borderId="34" xfId="0" applyFont="1" applyFill="1" applyBorder="1" applyAlignment="1">
      <alignment horizontal="center" vertical="center"/>
    </xf>
    <xf numFmtId="0" fontId="54" fillId="11" borderId="42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0" fillId="0" borderId="77" xfId="0" applyFont="1" applyBorder="1" applyAlignment="1">
      <alignment horizontal="left" vertical="center"/>
    </xf>
    <xf numFmtId="0" fontId="10" fillId="0" borderId="78" xfId="0" applyFont="1" applyBorder="1" applyAlignment="1">
      <alignment horizontal="left" vertical="center"/>
    </xf>
    <xf numFmtId="0" fontId="9" fillId="0" borderId="44" xfId="0" applyFont="1" applyBorder="1" applyAlignment="1">
      <alignment horizontal="left" vertical="center"/>
    </xf>
    <xf numFmtId="2" fontId="1" fillId="0" borderId="0" xfId="0" applyNumberFormat="1" applyFont="1" applyAlignment="1">
      <alignment horizontal="left" vertical="center"/>
    </xf>
    <xf numFmtId="0" fontId="4" fillId="0" borderId="128" xfId="0" applyFont="1" applyBorder="1" applyAlignment="1" applyProtection="1">
      <alignment horizontal="right" vertical="center"/>
      <protection hidden="1"/>
    </xf>
    <xf numFmtId="0" fontId="4" fillId="0" borderId="14" xfId="0" applyFont="1" applyBorder="1" applyAlignment="1">
      <alignment horizontal="right" vertical="center"/>
    </xf>
    <xf numFmtId="0" fontId="4" fillId="0" borderId="34" xfId="0" applyFont="1" applyBorder="1" applyAlignment="1">
      <alignment horizontal="right" vertical="center"/>
    </xf>
    <xf numFmtId="0" fontId="4" fillId="0" borderId="42" xfId="0" applyFont="1" applyBorder="1" applyAlignment="1">
      <alignment horizontal="right" vertical="center"/>
    </xf>
    <xf numFmtId="0" fontId="66" fillId="11" borderId="27" xfId="0" applyFont="1" applyFill="1" applyBorder="1" applyAlignment="1">
      <alignment horizontal="center" vertical="center"/>
    </xf>
    <xf numFmtId="0" fontId="66" fillId="11" borderId="0" xfId="0" applyFont="1" applyFill="1" applyAlignment="1">
      <alignment horizontal="center" vertical="center"/>
    </xf>
    <xf numFmtId="0" fontId="66" fillId="11" borderId="31" xfId="0" applyFont="1" applyFill="1" applyBorder="1" applyAlignment="1">
      <alignment horizontal="center" vertical="center"/>
    </xf>
    <xf numFmtId="0" fontId="9" fillId="0" borderId="77" xfId="0" applyFont="1" applyBorder="1" applyAlignment="1">
      <alignment horizontal="left" vertical="center"/>
    </xf>
    <xf numFmtId="0" fontId="9" fillId="0" borderId="78" xfId="0" applyFont="1" applyBorder="1" applyAlignment="1">
      <alignment horizontal="left" vertical="center"/>
    </xf>
    <xf numFmtId="0" fontId="13" fillId="0" borderId="27" xfId="0" applyFont="1" applyBorder="1" applyAlignment="1" applyProtection="1">
      <alignment horizontal="left" vertical="center" indent="1"/>
      <protection hidden="1"/>
    </xf>
    <xf numFmtId="0" fontId="13" fillId="0" borderId="0" xfId="0" applyFont="1" applyAlignment="1" applyProtection="1">
      <alignment horizontal="left" vertical="center" indent="1"/>
      <protection hidden="1"/>
    </xf>
    <xf numFmtId="0" fontId="13" fillId="0" borderId="31" xfId="0" applyFont="1" applyBorder="1" applyAlignment="1" applyProtection="1">
      <alignment horizontal="left" vertical="center" indent="1"/>
      <protection hidden="1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1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9" fillId="0" borderId="40" xfId="0" applyFont="1" applyBorder="1" applyAlignment="1" applyProtection="1">
      <alignment horizontal="center" vertical="center"/>
      <protection hidden="1"/>
    </xf>
    <xf numFmtId="0" fontId="9" fillId="0" borderId="17" xfId="0" applyFont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/>
      <protection hidden="1"/>
    </xf>
    <xf numFmtId="0" fontId="5" fillId="0" borderId="0" xfId="0" applyFont="1" applyAlignment="1">
      <alignment horizontal="left" vertical="center"/>
    </xf>
    <xf numFmtId="49" fontId="69" fillId="11" borderId="40" xfId="0" applyNumberFormat="1" applyFont="1" applyFill="1" applyBorder="1" applyAlignment="1" applyProtection="1">
      <alignment horizontal="center"/>
      <protection hidden="1"/>
    </xf>
    <xf numFmtId="0" fontId="69" fillId="11" borderId="68" xfId="0" applyFont="1" applyFill="1" applyBorder="1" applyAlignment="1" applyProtection="1">
      <alignment horizontal="center"/>
      <protection hidden="1"/>
    </xf>
    <xf numFmtId="1" fontId="9" fillId="0" borderId="0" xfId="0" applyNumberFormat="1" applyFont="1" applyAlignment="1" applyProtection="1">
      <alignment horizontal="center"/>
      <protection hidden="1"/>
    </xf>
    <xf numFmtId="0" fontId="69" fillId="11" borderId="13" xfId="0" applyFont="1" applyFill="1" applyBorder="1" applyAlignment="1" applyProtection="1">
      <alignment horizontal="center"/>
      <protection hidden="1"/>
    </xf>
    <xf numFmtId="0" fontId="69" fillId="11" borderId="2" xfId="0" applyFont="1" applyFill="1" applyBorder="1" applyAlignment="1" applyProtection="1">
      <alignment horizontal="center"/>
      <protection hidden="1"/>
    </xf>
    <xf numFmtId="167" fontId="10" fillId="7" borderId="16" xfId="0" applyNumberFormat="1" applyFont="1" applyFill="1" applyBorder="1" applyAlignment="1" applyProtection="1">
      <alignment horizontal="center" vertical="center"/>
      <protection locked="0"/>
    </xf>
    <xf numFmtId="167" fontId="10" fillId="7" borderId="25" xfId="0" applyNumberFormat="1" applyFont="1" applyFill="1" applyBorder="1" applyAlignment="1" applyProtection="1">
      <alignment horizontal="center" vertical="center"/>
      <protection locked="0"/>
    </xf>
    <xf numFmtId="3" fontId="10" fillId="0" borderId="0" xfId="0" applyNumberFormat="1" applyFont="1" applyAlignment="1" applyProtection="1">
      <alignment horizontal="right" vertic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69" fillId="11" borderId="13" xfId="0" applyFont="1" applyFill="1" applyBorder="1" applyAlignment="1" applyProtection="1">
      <alignment horizontal="center" vertical="center"/>
      <protection hidden="1"/>
    </xf>
    <xf numFmtId="0" fontId="73" fillId="11" borderId="3" xfId="0" applyFont="1" applyFill="1" applyBorder="1" applyAlignment="1">
      <alignment horizontal="center" vertical="center"/>
    </xf>
    <xf numFmtId="0" fontId="73" fillId="11" borderId="2" xfId="0" applyFont="1" applyFill="1" applyBorder="1" applyAlignment="1">
      <alignment horizontal="center" vertical="center"/>
    </xf>
    <xf numFmtId="0" fontId="73" fillId="11" borderId="27" xfId="0" applyFont="1" applyFill="1" applyBorder="1" applyAlignment="1">
      <alignment horizontal="center" vertical="center"/>
    </xf>
    <xf numFmtId="0" fontId="73" fillId="11" borderId="0" xfId="0" applyFont="1" applyFill="1" applyAlignment="1">
      <alignment horizontal="center" vertical="center"/>
    </xf>
    <xf numFmtId="0" fontId="73" fillId="11" borderId="28" xfId="0" applyFont="1" applyFill="1" applyBorder="1" applyAlignment="1">
      <alignment horizontal="center" vertical="center"/>
    </xf>
    <xf numFmtId="0" fontId="1" fillId="0" borderId="0" xfId="0" applyFont="1" applyAlignment="1" applyProtection="1">
      <alignment horizontal="left"/>
      <protection hidden="1"/>
    </xf>
    <xf numFmtId="49" fontId="0" fillId="0" borderId="0" xfId="0" applyNumberFormat="1" applyAlignment="1" applyProtection="1">
      <alignment horizontal="center"/>
      <protection hidden="1"/>
    </xf>
    <xf numFmtId="1" fontId="10" fillId="0" borderId="0" xfId="0" applyNumberFormat="1" applyFont="1" applyAlignment="1" applyProtection="1">
      <alignment horizontal="right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3" fontId="10" fillId="0" borderId="0" xfId="0" applyNumberFormat="1" applyFont="1" applyAlignment="1" applyProtection="1">
      <alignment horizontal="right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9" fillId="0" borderId="44" xfId="0" applyFont="1" applyBorder="1" applyAlignment="1" applyProtection="1">
      <alignment horizontal="left" vertical="center" wrapText="1"/>
      <protection hidden="1"/>
    </xf>
    <xf numFmtId="0" fontId="9" fillId="0" borderId="75" xfId="0" applyFont="1" applyBorder="1" applyAlignment="1" applyProtection="1">
      <alignment horizontal="left" vertical="center" wrapText="1"/>
      <protection hidden="1"/>
    </xf>
    <xf numFmtId="0" fontId="1" fillId="0" borderId="0" xfId="0" applyFont="1" applyAlignment="1" applyProtection="1">
      <alignment horizontal="left" vertical="center"/>
      <protection hidden="1"/>
    </xf>
    <xf numFmtId="14" fontId="1" fillId="0" borderId="0" xfId="0" applyNumberFormat="1" applyFont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/>
      <protection hidden="1"/>
    </xf>
    <xf numFmtId="49" fontId="69" fillId="11" borderId="27" xfId="0" applyNumberFormat="1" applyFont="1" applyFill="1" applyBorder="1" applyAlignment="1" applyProtection="1">
      <alignment horizontal="center"/>
      <protection hidden="1"/>
    </xf>
    <xf numFmtId="0" fontId="69" fillId="11" borderId="28" xfId="0" applyFont="1" applyFill="1" applyBorder="1" applyAlignment="1" applyProtection="1">
      <alignment horizontal="center"/>
      <protection hidden="1"/>
    </xf>
    <xf numFmtId="167" fontId="10" fillId="6" borderId="9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38" fillId="0" borderId="21" xfId="0" applyFont="1" applyBorder="1" applyAlignment="1">
      <alignment horizontal="left" vertical="center"/>
    </xf>
    <xf numFmtId="0" fontId="38" fillId="0" borderId="11" xfId="0" applyFont="1" applyBorder="1" applyAlignment="1">
      <alignment horizontal="left" vertical="center"/>
    </xf>
    <xf numFmtId="0" fontId="38" fillId="0" borderId="43" xfId="0" applyFont="1" applyBorder="1" applyAlignment="1">
      <alignment horizontal="left" vertical="center"/>
    </xf>
    <xf numFmtId="0" fontId="6" fillId="7" borderId="0" xfId="0" applyFont="1" applyFill="1" applyAlignment="1" applyProtection="1">
      <alignment horizontal="center" vertical="center"/>
      <protection locked="0"/>
    </xf>
    <xf numFmtId="0" fontId="21" fillId="7" borderId="0" xfId="0" applyFont="1" applyFill="1" applyAlignment="1" applyProtection="1">
      <alignment horizontal="center"/>
      <protection locked="0"/>
    </xf>
    <xf numFmtId="0" fontId="9" fillId="8" borderId="80" xfId="0" applyFont="1" applyFill="1" applyBorder="1" applyAlignment="1">
      <alignment horizontal="left" vertical="center" indent="1"/>
    </xf>
    <xf numFmtId="0" fontId="9" fillId="8" borderId="81" xfId="0" applyFont="1" applyFill="1" applyBorder="1" applyAlignment="1">
      <alignment horizontal="left" vertical="center" indent="1"/>
    </xf>
    <xf numFmtId="0" fontId="9" fillId="8" borderId="82" xfId="0" applyFont="1" applyFill="1" applyBorder="1" applyAlignment="1">
      <alignment horizontal="left" vertical="center" indent="1"/>
    </xf>
    <xf numFmtId="0" fontId="54" fillId="11" borderId="5" xfId="0" applyFont="1" applyFill="1" applyBorder="1" applyAlignment="1">
      <alignment horizontal="left" vertical="center" indent="1"/>
    </xf>
    <xf numFmtId="0" fontId="54" fillId="11" borderId="101" xfId="0" applyFont="1" applyFill="1" applyBorder="1" applyAlignment="1">
      <alignment horizontal="left" vertical="center" indent="1"/>
    </xf>
    <xf numFmtId="0" fontId="38" fillId="0" borderId="48" xfId="0" applyFont="1" applyBorder="1" applyAlignment="1">
      <alignment horizontal="left" vertical="center"/>
    </xf>
    <xf numFmtId="0" fontId="39" fillId="0" borderId="64" xfId="0" applyFont="1" applyBorder="1" applyAlignment="1">
      <alignment horizontal="left" vertical="center"/>
    </xf>
    <xf numFmtId="0" fontId="39" fillId="0" borderId="97" xfId="0" applyFont="1" applyBorder="1" applyAlignment="1">
      <alignment horizontal="left" vertical="center"/>
    </xf>
    <xf numFmtId="0" fontId="38" fillId="0" borderId="94" xfId="0" applyFont="1" applyBorder="1" applyAlignment="1">
      <alignment horizontal="left" vertical="center"/>
    </xf>
    <xf numFmtId="0" fontId="39" fillId="0" borderId="95" xfId="0" applyFont="1" applyBorder="1" applyAlignment="1">
      <alignment horizontal="left" vertical="center"/>
    </xf>
    <xf numFmtId="0" fontId="39" fillId="0" borderId="98" xfId="0" applyFont="1" applyBorder="1" applyAlignment="1">
      <alignment horizontal="left" vertical="center"/>
    </xf>
    <xf numFmtId="0" fontId="38" fillId="7" borderId="21" xfId="0" applyFont="1" applyFill="1" applyBorder="1" applyAlignment="1" applyProtection="1">
      <alignment horizontal="left" vertical="center"/>
      <protection locked="0"/>
    </xf>
    <xf numFmtId="0" fontId="38" fillId="7" borderId="11" xfId="0" applyFont="1" applyFill="1" applyBorder="1" applyAlignment="1" applyProtection="1">
      <alignment horizontal="left" vertical="center"/>
      <protection locked="0"/>
    </xf>
    <xf numFmtId="0" fontId="38" fillId="7" borderId="43" xfId="0" applyFont="1" applyFill="1" applyBorder="1" applyAlignment="1" applyProtection="1">
      <alignment horizontal="left" vertical="center"/>
      <protection locked="0"/>
    </xf>
    <xf numFmtId="0" fontId="6" fillId="2" borderId="0" xfId="0" applyFont="1" applyFill="1" applyAlignment="1">
      <alignment horizontal="right" vertical="center"/>
    </xf>
    <xf numFmtId="0" fontId="4" fillId="6" borderId="24" xfId="0" applyFont="1" applyFill="1" applyBorder="1" applyAlignment="1" applyProtection="1">
      <alignment horizontal="left" vertical="center"/>
      <protection hidden="1"/>
    </xf>
    <xf numFmtId="0" fontId="4" fillId="6" borderId="17" xfId="0" applyFont="1" applyFill="1" applyBorder="1" applyAlignment="1" applyProtection="1">
      <alignment horizontal="left" vertical="center"/>
      <protection hidden="1"/>
    </xf>
    <xf numFmtId="0" fontId="4" fillId="6" borderId="59" xfId="0" applyFont="1" applyFill="1" applyBorder="1" applyAlignment="1" applyProtection="1">
      <alignment horizontal="left" vertical="center"/>
      <protection hidden="1"/>
    </xf>
    <xf numFmtId="0" fontId="39" fillId="0" borderId="11" xfId="0" applyFont="1" applyBorder="1" applyAlignment="1">
      <alignment horizontal="left" vertical="center"/>
    </xf>
    <xf numFmtId="0" fontId="39" fillId="0" borderId="43" xfId="0" applyFont="1" applyBorder="1" applyAlignment="1">
      <alignment horizontal="left" vertical="center"/>
    </xf>
    <xf numFmtId="0" fontId="4" fillId="0" borderId="34" xfId="0" applyFont="1" applyBorder="1" applyAlignment="1">
      <alignment horizontal="center" vertical="center"/>
    </xf>
    <xf numFmtId="0" fontId="4" fillId="6" borderId="19" xfId="0" applyFont="1" applyFill="1" applyBorder="1" applyAlignment="1" applyProtection="1">
      <alignment horizontal="left" vertical="center"/>
      <protection hidden="1"/>
    </xf>
    <xf numFmtId="0" fontId="4" fillId="6" borderId="8" xfId="0" applyFont="1" applyFill="1" applyBorder="1" applyAlignment="1" applyProtection="1">
      <alignment horizontal="left" vertical="center"/>
      <protection hidden="1"/>
    </xf>
    <xf numFmtId="0" fontId="4" fillId="6" borderId="9" xfId="0" applyFont="1" applyFill="1" applyBorder="1" applyAlignment="1" applyProtection="1">
      <alignment horizontal="left" vertical="center"/>
      <protection hidden="1"/>
    </xf>
    <xf numFmtId="0" fontId="6" fillId="0" borderId="0" xfId="0" applyFont="1" applyAlignment="1">
      <alignment horizontal="left"/>
    </xf>
    <xf numFmtId="0" fontId="69" fillId="11" borderId="39" xfId="0" applyFont="1" applyFill="1" applyBorder="1" applyAlignment="1">
      <alignment horizontal="center" vertical="center"/>
    </xf>
    <xf numFmtId="0" fontId="69" fillId="11" borderId="225" xfId="0" applyFont="1" applyFill="1" applyBorder="1" applyAlignment="1">
      <alignment horizontal="center" vertical="center"/>
    </xf>
    <xf numFmtId="0" fontId="9" fillId="0" borderId="80" xfId="0" applyFont="1" applyBorder="1" applyProtection="1">
      <protection hidden="1"/>
    </xf>
    <xf numFmtId="0" fontId="9" fillId="0" borderId="81" xfId="0" applyFont="1" applyBorder="1" applyProtection="1">
      <protection hidden="1"/>
    </xf>
    <xf numFmtId="0" fontId="9" fillId="0" borderId="82" xfId="0" applyFont="1" applyBorder="1" applyProtection="1">
      <protection hidden="1"/>
    </xf>
    <xf numFmtId="0" fontId="38" fillId="0" borderId="21" xfId="0" applyFont="1" applyBorder="1" applyAlignment="1">
      <alignment horizontal="left"/>
    </xf>
    <xf numFmtId="0" fontId="39" fillId="0" borderId="11" xfId="0" applyFont="1" applyBorder="1" applyAlignment="1">
      <alignment horizontal="left"/>
    </xf>
    <xf numFmtId="0" fontId="39" fillId="0" borderId="43" xfId="0" applyFont="1" applyBorder="1" applyAlignment="1">
      <alignment horizontal="left"/>
    </xf>
    <xf numFmtId="0" fontId="41" fillId="4" borderId="48" xfId="0" applyFont="1" applyFill="1" applyBorder="1" applyAlignment="1" applyProtection="1">
      <alignment horizontal="left" vertical="center"/>
      <protection hidden="1"/>
    </xf>
    <xf numFmtId="0" fontId="41" fillId="4" borderId="64" xfId="0" applyFont="1" applyFill="1" applyBorder="1" applyAlignment="1" applyProtection="1">
      <alignment horizontal="left" vertical="center"/>
      <protection hidden="1"/>
    </xf>
    <xf numFmtId="0" fontId="41" fillId="4" borderId="97" xfId="0" applyFont="1" applyFill="1" applyBorder="1" applyAlignment="1" applyProtection="1">
      <alignment horizontal="left" vertical="center"/>
      <protection hidden="1"/>
    </xf>
    <xf numFmtId="0" fontId="66" fillId="2" borderId="0" xfId="0" applyFont="1" applyFill="1" applyAlignment="1" applyProtection="1">
      <alignment horizontal="left" vertical="center"/>
      <protection hidden="1"/>
    </xf>
    <xf numFmtId="0" fontId="38" fillId="0" borderId="11" xfId="0" applyFont="1" applyBorder="1" applyAlignment="1">
      <alignment horizontal="left"/>
    </xf>
    <xf numFmtId="0" fontId="38" fillId="0" borderId="24" xfId="0" applyFont="1" applyBorder="1" applyAlignment="1">
      <alignment horizontal="left" vertical="center"/>
    </xf>
    <xf numFmtId="0" fontId="39" fillId="0" borderId="17" xfId="0" applyFont="1" applyBorder="1" applyAlignment="1">
      <alignment horizontal="left" vertical="center"/>
    </xf>
    <xf numFmtId="0" fontId="39" fillId="0" borderId="59" xfId="0" applyFont="1" applyBorder="1" applyAlignment="1">
      <alignment horizontal="left" vertical="center"/>
    </xf>
    <xf numFmtId="0" fontId="38" fillId="0" borderId="47" xfId="0" applyFont="1" applyBorder="1" applyAlignment="1" applyProtection="1">
      <alignment horizontal="center" vertical="center"/>
      <protection hidden="1"/>
    </xf>
    <xf numFmtId="0" fontId="38" fillId="0" borderId="52" xfId="0" applyFont="1" applyBorder="1" applyAlignment="1" applyProtection="1">
      <alignment horizontal="center" vertical="center"/>
      <protection hidden="1"/>
    </xf>
    <xf numFmtId="3" fontId="10" fillId="0" borderId="0" xfId="0" applyNumberFormat="1" applyFont="1" applyAlignment="1" applyProtection="1">
      <alignment horizontal="center" vertical="center"/>
      <protection hidden="1"/>
    </xf>
    <xf numFmtId="10" fontId="2" fillId="5" borderId="36" xfId="2" applyNumberFormat="1" applyFont="1" applyFill="1" applyBorder="1" applyAlignment="1" applyProtection="1">
      <alignment horizontal="right" vertical="center"/>
      <protection hidden="1"/>
    </xf>
    <xf numFmtId="10" fontId="2" fillId="5" borderId="18" xfId="2" applyNumberFormat="1" applyFont="1" applyFill="1" applyBorder="1" applyAlignment="1" applyProtection="1">
      <alignment horizontal="right" vertical="center"/>
      <protection hidden="1"/>
    </xf>
    <xf numFmtId="0" fontId="38" fillId="0" borderId="21" xfId="0" applyFont="1" applyBorder="1" applyAlignment="1">
      <alignment horizontal="left" vertical="top"/>
    </xf>
    <xf numFmtId="0" fontId="39" fillId="0" borderId="11" xfId="0" applyFont="1" applyBorder="1" applyAlignment="1">
      <alignment horizontal="left" vertical="top"/>
    </xf>
    <xf numFmtId="0" fontId="39" fillId="0" borderId="43" xfId="0" applyFont="1" applyBorder="1" applyAlignment="1">
      <alignment horizontal="left" vertical="top"/>
    </xf>
    <xf numFmtId="16" fontId="38" fillId="0" borderId="21" xfId="0" quotePrefix="1" applyNumberFormat="1" applyFont="1" applyBorder="1" applyAlignment="1">
      <alignment horizontal="left" vertical="center"/>
    </xf>
    <xf numFmtId="16" fontId="38" fillId="0" borderId="11" xfId="0" quotePrefix="1" applyNumberFormat="1" applyFont="1" applyBorder="1" applyAlignment="1">
      <alignment horizontal="left" vertical="center"/>
    </xf>
    <xf numFmtId="16" fontId="38" fillId="0" borderId="43" xfId="0" quotePrefix="1" applyNumberFormat="1" applyFont="1" applyBorder="1" applyAlignment="1">
      <alignment horizontal="left" vertical="center"/>
    </xf>
    <xf numFmtId="0" fontId="2" fillId="0" borderId="18" xfId="0" applyFont="1" applyBorder="1" applyAlignment="1">
      <alignment horizontal="center"/>
    </xf>
    <xf numFmtId="17" fontId="5" fillId="0" borderId="21" xfId="0" applyNumberFormat="1" applyFont="1" applyBorder="1" applyAlignment="1" applyProtection="1">
      <alignment horizontal="center" vertical="center"/>
      <protection hidden="1"/>
    </xf>
    <xf numFmtId="17" fontId="5" fillId="0" borderId="67" xfId="0" applyNumberFormat="1" applyFont="1" applyBorder="1" applyAlignment="1" applyProtection="1">
      <alignment horizontal="center" vertical="center"/>
      <protection hidden="1"/>
    </xf>
    <xf numFmtId="10" fontId="2" fillId="5" borderId="43" xfId="2" applyNumberFormat="1" applyFont="1" applyFill="1" applyBorder="1" applyAlignment="1" applyProtection="1">
      <alignment horizontal="right" vertical="center"/>
      <protection hidden="1"/>
    </xf>
    <xf numFmtId="0" fontId="5" fillId="0" borderId="20" xfId="0" applyFont="1" applyBorder="1" applyAlignment="1" applyProtection="1">
      <alignment horizontal="center" vertical="center" wrapText="1"/>
      <protection hidden="1"/>
    </xf>
    <xf numFmtId="0" fontId="5" fillId="0" borderId="32" xfId="0" applyFont="1" applyBorder="1" applyAlignment="1" applyProtection="1">
      <alignment horizontal="center" vertical="center" wrapText="1"/>
      <protection hidden="1"/>
    </xf>
    <xf numFmtId="0" fontId="9" fillId="0" borderId="18" xfId="0" applyFont="1" applyBorder="1" applyAlignment="1" applyProtection="1">
      <alignment horizontal="center" vertical="center"/>
      <protection hidden="1"/>
    </xf>
    <xf numFmtId="0" fontId="9" fillId="0" borderId="0" xfId="0" applyFont="1" applyAlignment="1">
      <alignment horizontal="left"/>
    </xf>
    <xf numFmtId="0" fontId="20" fillId="0" borderId="0" xfId="0" applyFont="1" applyAlignment="1" applyProtection="1">
      <alignment horizontal="left" vertical="center" wrapText="1"/>
      <protection hidden="1"/>
    </xf>
    <xf numFmtId="0" fontId="15" fillId="0" borderId="0" xfId="0" applyFont="1" applyAlignment="1" applyProtection="1">
      <alignment horizontal="left" vertical="center" wrapText="1"/>
      <protection hidden="1"/>
    </xf>
    <xf numFmtId="0" fontId="15" fillId="0" borderId="0" xfId="0" applyFont="1" applyAlignment="1">
      <alignment horizontal="left" vertical="center"/>
    </xf>
    <xf numFmtId="2" fontId="9" fillId="0" borderId="17" xfId="0" applyNumberFormat="1" applyFont="1" applyBorder="1" applyAlignment="1" applyProtection="1">
      <alignment horizontal="left" vertical="center"/>
      <protection hidden="1"/>
    </xf>
    <xf numFmtId="0" fontId="54" fillId="11" borderId="259" xfId="0" applyFont="1" applyFill="1" applyBorder="1" applyAlignment="1" applyProtection="1">
      <alignment horizontal="left" vertical="center" indent="1"/>
      <protection hidden="1"/>
    </xf>
    <xf numFmtId="0" fontId="54" fillId="11" borderId="107" xfId="0" applyFont="1" applyFill="1" applyBorder="1" applyAlignment="1" applyProtection="1">
      <alignment horizontal="left" vertical="center" indent="1"/>
      <protection hidden="1"/>
    </xf>
    <xf numFmtId="0" fontId="54" fillId="11" borderId="117" xfId="0" applyFont="1" applyFill="1" applyBorder="1" applyAlignment="1" applyProtection="1">
      <alignment horizontal="left" vertical="center" indent="1"/>
      <protection hidden="1"/>
    </xf>
    <xf numFmtId="0" fontId="54" fillId="11" borderId="0" xfId="0" applyFont="1" applyFill="1" applyAlignment="1" applyProtection="1">
      <alignment horizontal="left" vertical="center" indent="1"/>
      <protection hidden="1"/>
    </xf>
    <xf numFmtId="0" fontId="54" fillId="11" borderId="111" xfId="0" applyFont="1" applyFill="1" applyBorder="1" applyAlignment="1" applyProtection="1">
      <alignment horizontal="left" vertical="center" indent="1"/>
      <protection hidden="1"/>
    </xf>
    <xf numFmtId="0" fontId="54" fillId="11" borderId="109" xfId="0" applyFont="1" applyFill="1" applyBorder="1" applyAlignment="1" applyProtection="1">
      <alignment horizontal="left" vertical="center" indent="1"/>
      <protection hidden="1"/>
    </xf>
    <xf numFmtId="0" fontId="9" fillId="8" borderId="109" xfId="0" applyFont="1" applyFill="1" applyBorder="1" applyAlignment="1" applyProtection="1">
      <alignment horizontal="left" vertical="center" indent="2"/>
      <protection hidden="1"/>
    </xf>
    <xf numFmtId="0" fontId="9" fillId="8" borderId="365" xfId="0" applyFont="1" applyFill="1" applyBorder="1" applyAlignment="1" applyProtection="1">
      <alignment horizontal="left" vertical="center" indent="2"/>
      <protection hidden="1"/>
    </xf>
    <xf numFmtId="0" fontId="75" fillId="0" borderId="135" xfId="0" applyFont="1" applyBorder="1" applyAlignment="1" applyProtection="1">
      <alignment horizontal="left" vertical="center"/>
      <protection hidden="1"/>
    </xf>
    <xf numFmtId="0" fontId="75" fillId="0" borderId="211" xfId="0" applyFont="1" applyBorder="1" applyAlignment="1" applyProtection="1">
      <alignment horizontal="left" vertical="center"/>
      <protection hidden="1"/>
    </xf>
    <xf numFmtId="1" fontId="69" fillId="11" borderId="308" xfId="0" applyNumberFormat="1" applyFont="1" applyFill="1" applyBorder="1" applyAlignment="1">
      <alignment horizontal="center" vertical="top"/>
    </xf>
    <xf numFmtId="0" fontId="69" fillId="11" borderId="303" xfId="0" applyFont="1" applyFill="1" applyBorder="1" applyAlignment="1">
      <alignment horizontal="center" vertical="top"/>
    </xf>
    <xf numFmtId="0" fontId="69" fillId="11" borderId="309" xfId="0" applyFont="1" applyFill="1" applyBorder="1" applyAlignment="1">
      <alignment horizontal="center" vertical="top"/>
    </xf>
    <xf numFmtId="1" fontId="69" fillId="11" borderId="303" xfId="0" applyNumberFormat="1" applyFont="1" applyFill="1" applyBorder="1" applyAlignment="1">
      <alignment horizontal="center" vertical="top"/>
    </xf>
    <xf numFmtId="1" fontId="69" fillId="11" borderId="334" xfId="0" applyNumberFormat="1" applyFont="1" applyFill="1" applyBorder="1" applyAlignment="1">
      <alignment horizontal="center" vertical="top"/>
    </xf>
    <xf numFmtId="0" fontId="69" fillId="11" borderId="335" xfId="0" applyFont="1" applyFill="1" applyBorder="1" applyAlignment="1">
      <alignment horizontal="center" vertical="top"/>
    </xf>
    <xf numFmtId="3" fontId="10" fillId="0" borderId="136" xfId="0" applyNumberFormat="1" applyFont="1" applyBorder="1" applyAlignment="1" applyProtection="1">
      <alignment horizontal="center" vertical="center"/>
      <protection hidden="1"/>
    </xf>
    <xf numFmtId="167" fontId="9" fillId="0" borderId="135" xfId="0" applyNumberFormat="1" applyFont="1" applyBorder="1" applyAlignment="1" applyProtection="1">
      <alignment horizontal="center"/>
      <protection hidden="1"/>
    </xf>
    <xf numFmtId="167" fontId="9" fillId="0" borderId="142" xfId="0" applyNumberFormat="1" applyFont="1" applyBorder="1" applyAlignment="1" applyProtection="1">
      <alignment horizontal="center"/>
      <protection hidden="1"/>
    </xf>
    <xf numFmtId="167" fontId="9" fillId="0" borderId="126" xfId="0" applyNumberFormat="1" applyFont="1" applyBorder="1" applyAlignment="1" applyProtection="1">
      <alignment horizontal="center"/>
      <protection hidden="1"/>
    </xf>
    <xf numFmtId="167" fontId="10" fillId="0" borderId="203" xfId="0" applyNumberFormat="1" applyFont="1" applyBorder="1" applyAlignment="1" applyProtection="1">
      <alignment horizontal="center"/>
      <protection hidden="1"/>
    </xf>
    <xf numFmtId="167" fontId="9" fillId="0" borderId="203" xfId="0" applyNumberFormat="1" applyFont="1" applyBorder="1" applyAlignment="1" applyProtection="1">
      <alignment horizontal="center"/>
      <protection hidden="1"/>
    </xf>
    <xf numFmtId="167" fontId="10" fillId="0" borderId="135" xfId="0" applyNumberFormat="1" applyFont="1" applyBorder="1" applyAlignment="1" applyProtection="1">
      <alignment horizontal="center" vertical="center"/>
      <protection hidden="1"/>
    </xf>
    <xf numFmtId="0" fontId="69" fillId="11" borderId="356" xfId="0" applyFont="1" applyFill="1" applyBorder="1" applyAlignment="1">
      <alignment horizontal="center"/>
    </xf>
    <xf numFmtId="0" fontId="69" fillId="11" borderId="239" xfId="0" applyFont="1" applyFill="1" applyBorder="1" applyAlignment="1">
      <alignment horizontal="center"/>
    </xf>
    <xf numFmtId="0" fontId="69" fillId="11" borderId="357" xfId="0" applyFont="1" applyFill="1" applyBorder="1" applyAlignment="1">
      <alignment horizontal="center"/>
    </xf>
    <xf numFmtId="0" fontId="69" fillId="11" borderId="118" xfId="0" applyFont="1" applyFill="1" applyBorder="1" applyAlignment="1">
      <alignment horizontal="center"/>
    </xf>
    <xf numFmtId="0" fontId="69" fillId="11" borderId="0" xfId="0" applyFont="1" applyFill="1" applyAlignment="1">
      <alignment horizontal="center"/>
    </xf>
    <xf numFmtId="0" fontId="69" fillId="11" borderId="121" xfId="0" applyFont="1" applyFill="1" applyBorder="1" applyAlignment="1">
      <alignment horizontal="center"/>
    </xf>
    <xf numFmtId="3" fontId="10" fillId="0" borderId="130" xfId="0" applyNumberFormat="1" applyFont="1" applyBorder="1" applyAlignment="1" applyProtection="1">
      <alignment horizontal="center" vertical="center"/>
      <protection hidden="1"/>
    </xf>
    <xf numFmtId="3" fontId="10" fillId="0" borderId="131" xfId="0" applyNumberFormat="1" applyFont="1" applyBorder="1" applyAlignment="1" applyProtection="1">
      <alignment horizontal="center" vertical="center"/>
      <protection hidden="1"/>
    </xf>
    <xf numFmtId="167" fontId="10" fillId="0" borderId="109" xfId="0" applyNumberFormat="1" applyFont="1" applyBorder="1" applyAlignment="1" applyProtection="1">
      <alignment horizontal="center" vertical="center"/>
      <protection hidden="1"/>
    </xf>
    <xf numFmtId="167" fontId="10" fillId="8" borderId="109" xfId="0" applyNumberFormat="1" applyFont="1" applyFill="1" applyBorder="1" applyAlignment="1" applyProtection="1">
      <alignment horizontal="center" vertical="center"/>
      <protection hidden="1"/>
    </xf>
    <xf numFmtId="167" fontId="10" fillId="0" borderId="222" xfId="0" applyNumberFormat="1" applyFont="1" applyBorder="1" applyAlignment="1" applyProtection="1">
      <alignment horizontal="center" vertical="center"/>
      <protection hidden="1"/>
    </xf>
    <xf numFmtId="167" fontId="10" fillId="0" borderId="223" xfId="0" applyNumberFormat="1" applyFont="1" applyBorder="1" applyAlignment="1" applyProtection="1">
      <alignment horizontal="center" vertical="center"/>
      <protection hidden="1"/>
    </xf>
    <xf numFmtId="167" fontId="10" fillId="0" borderId="110" xfId="0" applyNumberFormat="1" applyFont="1" applyBorder="1" applyAlignment="1" applyProtection="1">
      <alignment horizontal="center" vertical="center"/>
      <protection hidden="1"/>
    </xf>
    <xf numFmtId="167" fontId="10" fillId="0" borderId="133" xfId="0" applyNumberFormat="1" applyFont="1" applyBorder="1" applyAlignment="1" applyProtection="1">
      <alignment horizontal="center" vertical="center"/>
      <protection hidden="1"/>
    </xf>
    <xf numFmtId="3" fontId="10" fillId="8" borderId="136" xfId="0" applyNumberFormat="1" applyFont="1" applyFill="1" applyBorder="1" applyAlignment="1" applyProtection="1">
      <alignment horizontal="center" vertical="center"/>
      <protection hidden="1"/>
    </xf>
    <xf numFmtId="14" fontId="9" fillId="0" borderId="0" xfId="0" applyNumberFormat="1" applyFont="1" applyAlignment="1" applyProtection="1">
      <alignment horizontal="left" vertical="center"/>
      <protection hidden="1"/>
    </xf>
    <xf numFmtId="0" fontId="70" fillId="11" borderId="288" xfId="0" applyFont="1" applyFill="1" applyBorder="1" applyAlignment="1" applyProtection="1">
      <alignment horizontal="center" vertical="center"/>
      <protection hidden="1"/>
    </xf>
    <xf numFmtId="0" fontId="70" fillId="11" borderId="286" xfId="0" applyFont="1" applyFill="1" applyBorder="1" applyAlignment="1" applyProtection="1">
      <alignment horizontal="center" vertical="center"/>
      <protection hidden="1"/>
    </xf>
    <xf numFmtId="0" fontId="69" fillId="11" borderId="231" xfId="0" applyFont="1" applyFill="1" applyBorder="1" applyAlignment="1" applyProtection="1">
      <alignment horizontal="center" vertical="center"/>
      <protection hidden="1"/>
    </xf>
    <xf numFmtId="167" fontId="10" fillId="0" borderId="211" xfId="0" applyNumberFormat="1" applyFont="1" applyBorder="1" applyAlignment="1" applyProtection="1">
      <alignment horizontal="center" vertical="center"/>
      <protection hidden="1"/>
    </xf>
    <xf numFmtId="167" fontId="10" fillId="0" borderId="212" xfId="0" applyNumberFormat="1" applyFont="1" applyBorder="1" applyAlignment="1" applyProtection="1">
      <alignment horizontal="center" vertical="center"/>
      <protection hidden="1"/>
    </xf>
    <xf numFmtId="167" fontId="10" fillId="0" borderId="119" xfId="0" applyNumberFormat="1" applyFont="1" applyBorder="1" applyAlignment="1" applyProtection="1">
      <alignment horizontal="center" vertical="center"/>
      <protection hidden="1"/>
    </xf>
    <xf numFmtId="167" fontId="10" fillId="0" borderId="207" xfId="0" applyNumberFormat="1" applyFont="1" applyBorder="1" applyAlignment="1" applyProtection="1">
      <alignment horizontal="center" vertical="center"/>
      <protection hidden="1"/>
    </xf>
    <xf numFmtId="0" fontId="54" fillId="11" borderId="259" xfId="0" applyFont="1" applyFill="1" applyBorder="1" applyAlignment="1" applyProtection="1">
      <alignment horizontal="left" vertical="center" wrapText="1" indent="1"/>
      <protection hidden="1"/>
    </xf>
    <xf numFmtId="0" fontId="54" fillId="11" borderId="107" xfId="0" applyFont="1" applyFill="1" applyBorder="1" applyAlignment="1" applyProtection="1">
      <alignment horizontal="left" vertical="center" wrapText="1" indent="1"/>
      <protection hidden="1"/>
    </xf>
    <xf numFmtId="0" fontId="54" fillId="11" borderId="111" xfId="0" applyFont="1" applyFill="1" applyBorder="1" applyAlignment="1" applyProtection="1">
      <alignment horizontal="left" vertical="center" wrapText="1" indent="1"/>
      <protection hidden="1"/>
    </xf>
    <xf numFmtId="0" fontId="54" fillId="11" borderId="109" xfId="0" applyFont="1" applyFill="1" applyBorder="1" applyAlignment="1" applyProtection="1">
      <alignment horizontal="left" vertical="center" wrapText="1" indent="1"/>
      <protection hidden="1"/>
    </xf>
    <xf numFmtId="167" fontId="10" fillId="0" borderId="135" xfId="0" applyNumberFormat="1" applyFont="1" applyBorder="1" applyAlignment="1" applyProtection="1">
      <alignment horizontal="center"/>
      <protection hidden="1"/>
    </xf>
    <xf numFmtId="0" fontId="54" fillId="11" borderId="286" xfId="0" applyFont="1" applyFill="1" applyBorder="1" applyAlignment="1" applyProtection="1">
      <alignment horizontal="left" vertical="center"/>
      <protection hidden="1"/>
    </xf>
    <xf numFmtId="0" fontId="54" fillId="11" borderId="287" xfId="0" applyFont="1" applyFill="1" applyBorder="1" applyAlignment="1" applyProtection="1">
      <alignment horizontal="left" vertical="center"/>
      <protection hidden="1"/>
    </xf>
    <xf numFmtId="0" fontId="54" fillId="11" borderId="290" xfId="0" applyFont="1" applyFill="1" applyBorder="1" applyAlignment="1" applyProtection="1">
      <alignment horizontal="left" vertical="center"/>
      <protection hidden="1"/>
    </xf>
    <xf numFmtId="0" fontId="54" fillId="11" borderId="137" xfId="0" applyFont="1" applyFill="1" applyBorder="1" applyAlignment="1" applyProtection="1">
      <alignment horizontal="left" vertical="center"/>
      <protection hidden="1"/>
    </xf>
    <xf numFmtId="167" fontId="43" fillId="0" borderId="211" xfId="0" applyNumberFormat="1" applyFont="1" applyBorder="1" applyAlignment="1" applyProtection="1">
      <alignment horizontal="left" vertical="center"/>
      <protection hidden="1"/>
    </xf>
    <xf numFmtId="167" fontId="43" fillId="0" borderId="212" xfId="0" applyNumberFormat="1" applyFont="1" applyBorder="1" applyAlignment="1" applyProtection="1">
      <alignment horizontal="left" vertical="center"/>
      <protection hidden="1"/>
    </xf>
    <xf numFmtId="167" fontId="63" fillId="0" borderId="119" xfId="0" applyNumberFormat="1" applyFont="1" applyBorder="1" applyAlignment="1" applyProtection="1">
      <alignment horizontal="center" vertical="center"/>
      <protection hidden="1"/>
    </xf>
    <xf numFmtId="167" fontId="63" fillId="0" borderId="207" xfId="0" applyNumberFormat="1" applyFont="1" applyBorder="1" applyAlignment="1" applyProtection="1">
      <alignment horizontal="center" vertical="center"/>
      <protection hidden="1"/>
    </xf>
    <xf numFmtId="167" fontId="43" fillId="0" borderId="135" xfId="0" applyNumberFormat="1" applyFont="1" applyBorder="1" applyAlignment="1" applyProtection="1">
      <alignment horizontal="left" vertical="center"/>
      <protection hidden="1"/>
    </xf>
    <xf numFmtId="167" fontId="9" fillId="0" borderId="211" xfId="0" applyNumberFormat="1" applyFont="1" applyBorder="1" applyAlignment="1" applyProtection="1">
      <alignment horizontal="center"/>
      <protection hidden="1"/>
    </xf>
    <xf numFmtId="167" fontId="9" fillId="0" borderId="212" xfId="0" applyNumberFormat="1" applyFont="1" applyBorder="1" applyAlignment="1" applyProtection="1">
      <alignment horizontal="center"/>
      <protection hidden="1"/>
    </xf>
    <xf numFmtId="167" fontId="9" fillId="0" borderId="119" xfId="0" applyNumberFormat="1" applyFont="1" applyBorder="1" applyAlignment="1" applyProtection="1">
      <alignment horizontal="center" vertical="center"/>
      <protection hidden="1"/>
    </xf>
    <xf numFmtId="167" fontId="9" fillId="0" borderId="207" xfId="0" applyNumberFormat="1" applyFont="1" applyBorder="1" applyAlignment="1" applyProtection="1">
      <alignment horizontal="center" vertical="center"/>
      <protection hidden="1"/>
    </xf>
    <xf numFmtId="167" fontId="10" fillId="0" borderId="211" xfId="0" applyNumberFormat="1" applyFont="1" applyBorder="1" applyAlignment="1" applyProtection="1">
      <alignment horizontal="center"/>
      <protection hidden="1"/>
    </xf>
    <xf numFmtId="167" fontId="10" fillId="0" borderId="212" xfId="0" applyNumberFormat="1" applyFont="1" applyBorder="1" applyAlignment="1" applyProtection="1">
      <alignment horizontal="center"/>
      <protection hidden="1"/>
    </xf>
    <xf numFmtId="0" fontId="10" fillId="0" borderId="135" xfId="0" applyFont="1" applyBorder="1" applyAlignment="1" applyProtection="1">
      <alignment horizontal="left" vertical="center"/>
      <protection hidden="1"/>
    </xf>
    <xf numFmtId="0" fontId="44" fillId="0" borderId="148" xfId="0" applyFont="1" applyBorder="1" applyAlignment="1" applyProtection="1">
      <alignment horizontal="left" vertical="center"/>
      <protection hidden="1"/>
    </xf>
    <xf numFmtId="0" fontId="44" fillId="0" borderId="138" xfId="0" applyFont="1" applyBorder="1" applyAlignment="1" applyProtection="1">
      <alignment horizontal="left" vertical="center"/>
      <protection hidden="1"/>
    </xf>
    <xf numFmtId="0" fontId="59" fillId="0" borderId="147" xfId="0" applyFont="1" applyBorder="1" applyAlignment="1" applyProtection="1">
      <alignment horizontal="left" vertical="center"/>
      <protection hidden="1"/>
    </xf>
    <xf numFmtId="0" fontId="59" fillId="0" borderId="135" xfId="0" applyFont="1" applyBorder="1" applyAlignment="1" applyProtection="1">
      <alignment horizontal="left" vertical="center"/>
      <protection hidden="1"/>
    </xf>
    <xf numFmtId="0" fontId="10" fillId="0" borderId="135" xfId="0" applyFont="1" applyBorder="1" applyAlignment="1" applyProtection="1">
      <alignment horizontal="left" vertical="center" wrapText="1"/>
      <protection hidden="1"/>
    </xf>
    <xf numFmtId="0" fontId="75" fillId="0" borderId="135" xfId="0" applyFont="1" applyBorder="1" applyAlignment="1" applyProtection="1">
      <alignment horizontal="left" vertical="center" indent="1"/>
      <protection hidden="1"/>
    </xf>
    <xf numFmtId="0" fontId="75" fillId="0" borderId="218" xfId="0" applyFont="1" applyBorder="1" applyAlignment="1" applyProtection="1">
      <alignment horizontal="left" vertical="center" indent="1"/>
      <protection hidden="1"/>
    </xf>
    <xf numFmtId="0" fontId="9" fillId="8" borderId="109" xfId="0" applyFont="1" applyFill="1" applyBorder="1" applyAlignment="1" applyProtection="1">
      <alignment horizontal="left" vertical="center" wrapText="1" indent="2"/>
      <protection hidden="1"/>
    </xf>
    <xf numFmtId="0" fontId="9" fillId="8" borderId="365" xfId="0" applyFont="1" applyFill="1" applyBorder="1" applyAlignment="1" applyProtection="1">
      <alignment horizontal="left" vertical="center" wrapText="1" indent="2"/>
      <protection hidden="1"/>
    </xf>
    <xf numFmtId="0" fontId="10" fillId="0" borderId="0" xfId="0" applyFont="1" applyAlignment="1" applyProtection="1">
      <alignment horizontal="center"/>
      <protection hidden="1"/>
    </xf>
    <xf numFmtId="0" fontId="9" fillId="8" borderId="136" xfId="0" applyFont="1" applyFill="1" applyBorder="1" applyAlignment="1" applyProtection="1">
      <alignment horizontal="left" vertical="center" indent="3"/>
      <protection hidden="1"/>
    </xf>
    <xf numFmtId="0" fontId="9" fillId="8" borderId="364" xfId="0" applyFont="1" applyFill="1" applyBorder="1" applyAlignment="1" applyProtection="1">
      <alignment horizontal="left" vertical="center" indent="3"/>
      <protection hidden="1"/>
    </xf>
    <xf numFmtId="2" fontId="9" fillId="8" borderId="136" xfId="0" applyNumberFormat="1" applyFont="1" applyFill="1" applyBorder="1" applyAlignment="1" applyProtection="1">
      <alignment horizontal="left" vertical="center" indent="2"/>
      <protection hidden="1"/>
    </xf>
    <xf numFmtId="2" fontId="9" fillId="8" borderId="364" xfId="0" applyNumberFormat="1" applyFont="1" applyFill="1" applyBorder="1" applyAlignment="1" applyProtection="1">
      <alignment horizontal="left" vertical="center" indent="2"/>
      <protection hidden="1"/>
    </xf>
    <xf numFmtId="0" fontId="69" fillId="11" borderId="235" xfId="0" applyFont="1" applyFill="1" applyBorder="1" applyAlignment="1">
      <alignment horizontal="left" vertical="center" wrapText="1" indent="2"/>
    </xf>
    <xf numFmtId="0" fontId="69" fillId="11" borderId="239" xfId="0" applyFont="1" applyFill="1" applyBorder="1" applyAlignment="1">
      <alignment horizontal="left" vertical="center" wrapText="1" indent="2"/>
    </xf>
    <xf numFmtId="0" fontId="69" fillId="11" borderId="240" xfId="0" applyFont="1" applyFill="1" applyBorder="1" applyAlignment="1">
      <alignment horizontal="left" vertical="center" wrapText="1" indent="2"/>
    </xf>
    <xf numFmtId="0" fontId="69" fillId="11" borderId="0" xfId="0" applyFont="1" applyFill="1" applyAlignment="1">
      <alignment horizontal="left" vertical="center" wrapText="1" indent="2"/>
    </xf>
    <xf numFmtId="0" fontId="10" fillId="8" borderId="73" xfId="0" applyFont="1" applyFill="1" applyBorder="1" applyAlignment="1" applyProtection="1">
      <alignment horizontal="left" vertical="center"/>
      <protection hidden="1"/>
    </xf>
    <xf numFmtId="0" fontId="10" fillId="8" borderId="370" xfId="0" applyFont="1" applyFill="1" applyBorder="1" applyAlignment="1" applyProtection="1">
      <alignment horizontal="left" vertical="center"/>
      <protection hidden="1"/>
    </xf>
    <xf numFmtId="0" fontId="10" fillId="8" borderId="86" xfId="0" applyFont="1" applyFill="1" applyBorder="1" applyAlignment="1" applyProtection="1">
      <alignment horizontal="left" vertical="center"/>
      <protection hidden="1"/>
    </xf>
    <xf numFmtId="0" fontId="10" fillId="8" borderId="371" xfId="0" applyFont="1" applyFill="1" applyBorder="1" applyAlignment="1" applyProtection="1">
      <alignment horizontal="left" vertical="center"/>
      <protection hidden="1"/>
    </xf>
    <xf numFmtId="167" fontId="10" fillId="0" borderId="216" xfId="0" applyNumberFormat="1" applyFont="1" applyBorder="1" applyAlignment="1" applyProtection="1">
      <alignment horizontal="center" vertical="center"/>
      <protection hidden="1"/>
    </xf>
    <xf numFmtId="167" fontId="62" fillId="0" borderId="215" xfId="0" applyNumberFormat="1" applyFont="1" applyBorder="1" applyAlignment="1" applyProtection="1">
      <alignment horizontal="center" vertical="center"/>
      <protection hidden="1"/>
    </xf>
    <xf numFmtId="0" fontId="67" fillId="0" borderId="119" xfId="0" applyFont="1" applyBorder="1" applyAlignment="1" applyProtection="1">
      <alignment horizontal="center" vertical="center"/>
      <protection hidden="1"/>
    </xf>
    <xf numFmtId="164" fontId="10" fillId="0" borderId="231" xfId="2" applyNumberFormat="1" applyFont="1" applyBorder="1" applyAlignment="1" applyProtection="1">
      <alignment horizontal="center" vertical="center"/>
      <protection hidden="1"/>
    </xf>
    <xf numFmtId="167" fontId="62" fillId="0" borderId="216" xfId="0" applyNumberFormat="1" applyFont="1" applyBorder="1" applyAlignment="1" applyProtection="1">
      <alignment horizontal="center" vertical="center"/>
      <protection hidden="1"/>
    </xf>
    <xf numFmtId="167" fontId="2" fillId="0" borderId="0" xfId="0" applyNumberFormat="1" applyFont="1" applyAlignment="1" applyProtection="1">
      <alignment horizontal="center"/>
      <protection hidden="1"/>
    </xf>
    <xf numFmtId="0" fontId="9" fillId="8" borderId="0" xfId="0" applyFont="1" applyFill="1" applyAlignment="1" applyProtection="1">
      <alignment horizontal="left" vertical="center" wrapText="1" indent="2"/>
      <protection hidden="1"/>
    </xf>
    <xf numFmtId="0" fontId="9" fillId="8" borderId="121" xfId="0" applyFont="1" applyFill="1" applyBorder="1" applyAlignment="1" applyProtection="1">
      <alignment horizontal="left" vertical="center" wrapText="1" indent="2"/>
      <protection hidden="1"/>
    </xf>
    <xf numFmtId="3" fontId="9" fillId="8" borderId="361" xfId="0" applyNumberFormat="1" applyFont="1" applyFill="1" applyBorder="1" applyAlignment="1" applyProtection="1">
      <alignment horizontal="center" vertical="center"/>
      <protection hidden="1"/>
    </xf>
    <xf numFmtId="3" fontId="9" fillId="8" borderId="222" xfId="0" applyNumberFormat="1" applyFont="1" applyFill="1" applyBorder="1" applyAlignment="1" applyProtection="1">
      <alignment horizontal="center" vertical="center"/>
      <protection hidden="1"/>
    </xf>
    <xf numFmtId="1" fontId="9" fillId="6" borderId="107" xfId="0" applyNumberFormat="1" applyFont="1" applyFill="1" applyBorder="1" applyAlignment="1" applyProtection="1">
      <alignment horizontal="center" vertical="center"/>
      <protection hidden="1"/>
    </xf>
    <xf numFmtId="1" fontId="9" fillId="6" borderId="109" xfId="0" applyNumberFormat="1" applyFont="1" applyFill="1" applyBorder="1" applyAlignment="1" applyProtection="1">
      <alignment horizontal="center" vertical="center"/>
      <protection hidden="1"/>
    </xf>
    <xf numFmtId="166" fontId="9" fillId="8" borderId="362" xfId="0" applyNumberFormat="1" applyFont="1" applyFill="1" applyBorder="1" applyAlignment="1" applyProtection="1">
      <alignment horizontal="center" vertical="center"/>
      <protection hidden="1"/>
    </xf>
    <xf numFmtId="166" fontId="9" fillId="8" borderId="223" xfId="0" applyNumberFormat="1" applyFont="1" applyFill="1" applyBorder="1" applyAlignment="1" applyProtection="1">
      <alignment horizontal="center" vertical="center"/>
      <protection hidden="1"/>
    </xf>
    <xf numFmtId="3" fontId="9" fillId="6" borderId="332" xfId="0" applyNumberFormat="1" applyFont="1" applyFill="1" applyBorder="1" applyAlignment="1" applyProtection="1">
      <alignment horizontal="center" vertical="center"/>
      <protection hidden="1"/>
    </xf>
    <xf numFmtId="3" fontId="9" fillId="6" borderId="363" xfId="0" applyNumberFormat="1" applyFont="1" applyFill="1" applyBorder="1" applyAlignment="1" applyProtection="1">
      <alignment horizontal="center" vertical="center"/>
      <protection hidden="1"/>
    </xf>
    <xf numFmtId="1" fontId="9" fillId="6" borderId="280" xfId="0" applyNumberFormat="1" applyFont="1" applyFill="1" applyBorder="1" applyAlignment="1" applyProtection="1">
      <alignment horizontal="center" vertical="center"/>
      <protection hidden="1"/>
    </xf>
    <xf numFmtId="1" fontId="9" fillId="6" borderId="133" xfId="0" applyNumberFormat="1" applyFont="1" applyFill="1" applyBorder="1" applyAlignment="1" applyProtection="1">
      <alignment horizontal="center" vertical="center"/>
      <protection hidden="1"/>
    </xf>
    <xf numFmtId="167" fontId="9" fillId="8" borderId="362" xfId="0" applyNumberFormat="1" applyFont="1" applyFill="1" applyBorder="1" applyAlignment="1" applyProtection="1">
      <alignment horizontal="center" vertical="center"/>
      <protection hidden="1"/>
    </xf>
    <xf numFmtId="167" fontId="9" fillId="8" borderId="223" xfId="0" applyNumberFormat="1" applyFont="1" applyFill="1" applyBorder="1" applyAlignment="1" applyProtection="1">
      <alignment horizontal="center" vertical="center"/>
      <protection hidden="1"/>
    </xf>
    <xf numFmtId="0" fontId="44" fillId="0" borderId="147" xfId="0" applyFont="1" applyBorder="1" applyAlignment="1" applyProtection="1">
      <alignment horizontal="left" vertical="center"/>
      <protection hidden="1"/>
    </xf>
    <xf numFmtId="0" fontId="44" fillId="0" borderId="135" xfId="0" applyFont="1" applyBorder="1" applyAlignment="1" applyProtection="1">
      <alignment horizontal="left" vertical="center"/>
      <protection hidden="1"/>
    </xf>
    <xf numFmtId="0" fontId="59" fillId="0" borderId="148" xfId="0" applyFont="1" applyBorder="1" applyAlignment="1" applyProtection="1">
      <alignment horizontal="left" vertical="center"/>
      <protection hidden="1"/>
    </xf>
    <xf numFmtId="0" fontId="59" fillId="0" borderId="138" xfId="0" applyFont="1" applyBorder="1" applyAlignment="1" applyProtection="1">
      <alignment horizontal="left" vertical="center"/>
      <protection hidden="1"/>
    </xf>
    <xf numFmtId="0" fontId="10" fillId="0" borderId="203" xfId="0" applyFont="1" applyBorder="1" applyAlignment="1" applyProtection="1">
      <alignment horizontal="left" vertical="center"/>
      <protection hidden="1"/>
    </xf>
    <xf numFmtId="0" fontId="10" fillId="0" borderId="202" xfId="0" applyFont="1" applyBorder="1" applyAlignment="1" applyProtection="1">
      <alignment horizontal="left" vertical="center"/>
      <protection hidden="1"/>
    </xf>
    <xf numFmtId="0" fontId="5" fillId="0" borderId="203" xfId="0" applyFont="1" applyBorder="1" applyAlignment="1" applyProtection="1">
      <alignment horizontal="left" vertical="center"/>
      <protection hidden="1"/>
    </xf>
    <xf numFmtId="0" fontId="5" fillId="0" borderId="202" xfId="0" applyFont="1" applyBorder="1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9" fillId="0" borderId="106" xfId="0" applyFont="1" applyBorder="1" applyAlignment="1" applyProtection="1">
      <alignment horizontal="left" vertical="center"/>
      <protection hidden="1"/>
    </xf>
    <xf numFmtId="6" fontId="70" fillId="11" borderId="280" xfId="0" applyNumberFormat="1" applyFont="1" applyFill="1" applyBorder="1" applyAlignment="1" applyProtection="1">
      <alignment horizontal="center" vertical="center"/>
      <protection hidden="1"/>
    </xf>
    <xf numFmtId="6" fontId="70" fillId="11" borderId="133" xfId="0" applyNumberFormat="1" applyFont="1" applyFill="1" applyBorder="1" applyAlignment="1" applyProtection="1">
      <alignment horizontal="center" vertical="center"/>
      <protection hidden="1"/>
    </xf>
    <xf numFmtId="0" fontId="70" fillId="11" borderId="107" xfId="0" applyFont="1" applyFill="1" applyBorder="1" applyAlignment="1" applyProtection="1">
      <alignment horizontal="left" vertical="center" wrapText="1" indent="1"/>
      <protection hidden="1"/>
    </xf>
    <xf numFmtId="0" fontId="70" fillId="11" borderId="108" xfId="0" applyFont="1" applyFill="1" applyBorder="1" applyAlignment="1" applyProtection="1">
      <alignment horizontal="left" vertical="center" wrapText="1" indent="1"/>
      <protection hidden="1"/>
    </xf>
    <xf numFmtId="0" fontId="70" fillId="11" borderId="109" xfId="0" applyFont="1" applyFill="1" applyBorder="1" applyAlignment="1" applyProtection="1">
      <alignment horizontal="left" vertical="center" wrapText="1" indent="1"/>
      <protection hidden="1"/>
    </xf>
    <xf numFmtId="0" fontId="70" fillId="11" borderId="110" xfId="0" applyFont="1" applyFill="1" applyBorder="1" applyAlignment="1" applyProtection="1">
      <alignment horizontal="left" vertical="center" wrapText="1" indent="1"/>
      <protection hidden="1"/>
    </xf>
    <xf numFmtId="0" fontId="2" fillId="6" borderId="136" xfId="0" applyFont="1" applyFill="1" applyBorder="1" applyAlignment="1" applyProtection="1">
      <alignment horizontal="center" vertical="center"/>
      <protection hidden="1"/>
    </xf>
    <xf numFmtId="0" fontId="2" fillId="6" borderId="120" xfId="0" applyFont="1" applyFill="1" applyBorder="1" applyAlignment="1" applyProtection="1">
      <alignment horizontal="center" vertical="center"/>
      <protection hidden="1"/>
    </xf>
    <xf numFmtId="0" fontId="2" fillId="6" borderId="281" xfId="0" applyFont="1" applyFill="1" applyBorder="1" applyAlignment="1" applyProtection="1">
      <alignment horizontal="center" vertical="center"/>
      <protection hidden="1"/>
    </xf>
    <xf numFmtId="0" fontId="69" fillId="11" borderId="259" xfId="0" applyFont="1" applyFill="1" applyBorder="1" applyAlignment="1" applyProtection="1">
      <alignment horizontal="center"/>
      <protection hidden="1"/>
    </xf>
    <xf numFmtId="0" fontId="69" fillId="11" borderId="108" xfId="0" applyFont="1" applyFill="1" applyBorder="1" applyAlignment="1" applyProtection="1">
      <alignment horizontal="center"/>
      <protection hidden="1"/>
    </xf>
    <xf numFmtId="0" fontId="69" fillId="11" borderId="107" xfId="0" applyFont="1" applyFill="1" applyBorder="1" applyAlignment="1" applyProtection="1">
      <alignment horizontal="center"/>
      <protection hidden="1"/>
    </xf>
    <xf numFmtId="0" fontId="70" fillId="11" borderId="0" xfId="0" applyFont="1" applyFill="1" applyAlignment="1" applyProtection="1">
      <alignment horizontal="center"/>
      <protection hidden="1"/>
    </xf>
    <xf numFmtId="0" fontId="70" fillId="11" borderId="117" xfId="0" applyFont="1" applyFill="1" applyBorder="1" applyAlignment="1" applyProtection="1">
      <alignment horizontal="center"/>
      <protection hidden="1"/>
    </xf>
    <xf numFmtId="0" fontId="70" fillId="11" borderId="106" xfId="0" applyFont="1" applyFill="1" applyBorder="1" applyAlignment="1" applyProtection="1">
      <alignment horizontal="center"/>
      <protection hidden="1"/>
    </xf>
    <xf numFmtId="49" fontId="70" fillId="11" borderId="0" xfId="0" applyNumberFormat="1" applyFont="1" applyFill="1" applyAlignment="1" applyProtection="1">
      <alignment horizontal="center"/>
      <protection hidden="1"/>
    </xf>
    <xf numFmtId="0" fontId="5" fillId="7" borderId="186" xfId="0" applyFont="1" applyFill="1" applyBorder="1" applyAlignment="1" applyProtection="1">
      <alignment horizontal="center" vertical="center"/>
      <protection locked="0"/>
    </xf>
    <xf numFmtId="0" fontId="5" fillId="7" borderId="187" xfId="0" applyFont="1" applyFill="1" applyBorder="1" applyAlignment="1" applyProtection="1">
      <alignment horizontal="center" vertical="center"/>
      <protection locked="0"/>
    </xf>
    <xf numFmtId="0" fontId="2" fillId="0" borderId="109" xfId="0" applyFont="1" applyBorder="1" applyAlignment="1">
      <alignment horizontal="center" vertical="center"/>
    </xf>
    <xf numFmtId="0" fontId="77" fillId="0" borderId="0" xfId="0" applyFont="1" applyAlignment="1" applyProtection="1">
      <alignment horizontal="left" vertical="center"/>
      <protection hidden="1"/>
    </xf>
    <xf numFmtId="1" fontId="10" fillId="0" borderId="17" xfId="0" applyNumberFormat="1" applyFont="1" applyBorder="1" applyAlignment="1" applyProtection="1">
      <alignment horizontal="left" vertical="center"/>
      <protection hidden="1"/>
    </xf>
    <xf numFmtId="0" fontId="10" fillId="0" borderId="17" xfId="0" applyFont="1" applyBorder="1" applyAlignment="1" applyProtection="1">
      <alignment horizontal="left" vertical="center"/>
      <protection hidden="1"/>
    </xf>
    <xf numFmtId="170" fontId="10" fillId="0" borderId="17" xfId="0" applyNumberFormat="1" applyFont="1" applyBorder="1" applyAlignment="1" applyProtection="1">
      <alignment horizontal="left" vertical="center"/>
      <protection hidden="1"/>
    </xf>
    <xf numFmtId="14" fontId="9" fillId="0" borderId="17" xfId="0" applyNumberFormat="1" applyFont="1" applyBorder="1" applyAlignment="1" applyProtection="1">
      <alignment horizontal="left"/>
      <protection hidden="1"/>
    </xf>
    <xf numFmtId="14" fontId="2" fillId="0" borderId="0" xfId="0" applyNumberFormat="1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9" fillId="0" borderId="117" xfId="0" applyFont="1" applyBorder="1" applyAlignment="1" applyProtection="1">
      <alignment horizontal="left" vertical="center"/>
      <protection hidden="1"/>
    </xf>
    <xf numFmtId="0" fontId="9" fillId="0" borderId="117" xfId="0" applyFont="1" applyBorder="1" applyAlignment="1" applyProtection="1">
      <alignment horizontal="left"/>
      <protection hidden="1"/>
    </xf>
    <xf numFmtId="0" fontId="9" fillId="0" borderId="0" xfId="0" applyFont="1" applyAlignment="1" applyProtection="1">
      <alignment horizontal="left"/>
      <protection hidden="1"/>
    </xf>
    <xf numFmtId="0" fontId="70" fillId="11" borderId="107" xfId="0" applyFont="1" applyFill="1" applyBorder="1" applyAlignment="1" applyProtection="1">
      <alignment horizontal="center"/>
      <protection hidden="1"/>
    </xf>
    <xf numFmtId="6" fontId="69" fillId="11" borderId="280" xfId="0" applyNumberFormat="1" applyFont="1" applyFill="1" applyBorder="1" applyAlignment="1" applyProtection="1">
      <alignment horizontal="center" vertical="center"/>
      <protection hidden="1"/>
    </xf>
    <xf numFmtId="6" fontId="69" fillId="11" borderId="133" xfId="0" applyNumberFormat="1" applyFont="1" applyFill="1" applyBorder="1" applyAlignment="1" applyProtection="1">
      <alignment horizontal="center" vertical="center"/>
      <protection hidden="1"/>
    </xf>
    <xf numFmtId="0" fontId="70" fillId="11" borderId="107" xfId="0" applyFont="1" applyFill="1" applyBorder="1" applyAlignment="1" applyProtection="1">
      <alignment horizontal="left" vertical="center" indent="1"/>
      <protection hidden="1"/>
    </xf>
    <xf numFmtId="0" fontId="70" fillId="11" borderId="108" xfId="0" applyFont="1" applyFill="1" applyBorder="1" applyAlignment="1" applyProtection="1">
      <alignment horizontal="left" vertical="center" indent="1"/>
      <protection hidden="1"/>
    </xf>
    <xf numFmtId="0" fontId="70" fillId="11" borderId="109" xfId="0" applyFont="1" applyFill="1" applyBorder="1" applyAlignment="1" applyProtection="1">
      <alignment horizontal="left" vertical="center" indent="1"/>
      <protection hidden="1"/>
    </xf>
    <xf numFmtId="0" fontId="70" fillId="11" borderId="110" xfId="0" applyFont="1" applyFill="1" applyBorder="1" applyAlignment="1" applyProtection="1">
      <alignment horizontal="left" vertical="center" indent="1"/>
      <protection hidden="1"/>
    </xf>
    <xf numFmtId="0" fontId="54" fillId="11" borderId="259" xfId="0" applyFont="1" applyFill="1" applyBorder="1" applyAlignment="1" applyProtection="1">
      <alignment horizontal="left" vertical="center"/>
      <protection hidden="1"/>
    </xf>
    <xf numFmtId="0" fontId="54" fillId="11" borderId="107" xfId="0" applyFont="1" applyFill="1" applyBorder="1" applyAlignment="1" applyProtection="1">
      <alignment horizontal="left" vertical="center"/>
      <protection hidden="1"/>
    </xf>
    <xf numFmtId="0" fontId="54" fillId="11" borderId="108" xfId="0" applyFont="1" applyFill="1" applyBorder="1" applyAlignment="1" applyProtection="1">
      <alignment horizontal="left" vertical="center"/>
      <protection hidden="1"/>
    </xf>
    <xf numFmtId="0" fontId="54" fillId="11" borderId="111" xfId="0" applyFont="1" applyFill="1" applyBorder="1" applyAlignment="1" applyProtection="1">
      <alignment horizontal="left" vertical="center"/>
      <protection hidden="1"/>
    </xf>
    <xf numFmtId="0" fontId="54" fillId="11" borderId="109" xfId="0" applyFont="1" applyFill="1" applyBorder="1" applyAlignment="1" applyProtection="1">
      <alignment horizontal="left" vertical="center"/>
      <protection hidden="1"/>
    </xf>
    <xf numFmtId="0" fontId="54" fillId="11" borderId="110" xfId="0" applyFont="1" applyFill="1" applyBorder="1" applyAlignment="1" applyProtection="1">
      <alignment horizontal="left" vertical="center"/>
      <protection hidden="1"/>
    </xf>
    <xf numFmtId="0" fontId="10" fillId="0" borderId="106" xfId="0" applyFont="1" applyBorder="1" applyAlignment="1" applyProtection="1">
      <alignment horizontal="left" vertical="center"/>
      <protection hidden="1"/>
    </xf>
    <xf numFmtId="0" fontId="5" fillId="0" borderId="203" xfId="0" applyFont="1" applyBorder="1" applyAlignment="1" applyProtection="1">
      <alignment horizontal="left" vertical="center" indent="1"/>
      <protection hidden="1"/>
    </xf>
    <xf numFmtId="0" fontId="5" fillId="0" borderId="202" xfId="0" applyFont="1" applyBorder="1" applyAlignment="1" applyProtection="1">
      <alignment horizontal="left" vertical="center" indent="1"/>
      <protection hidden="1"/>
    </xf>
    <xf numFmtId="167" fontId="9" fillId="0" borderId="149" xfId="0" applyNumberFormat="1" applyFont="1" applyBorder="1" applyAlignment="1" applyProtection="1">
      <alignment horizontal="center"/>
      <protection hidden="1"/>
    </xf>
    <xf numFmtId="167" fontId="9" fillId="0" borderId="149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 shrinkToFit="1"/>
      <protection hidden="1"/>
    </xf>
    <xf numFmtId="0" fontId="0" fillId="0" borderId="0" xfId="0" applyAlignment="1">
      <alignment shrinkToFit="1"/>
    </xf>
    <xf numFmtId="0" fontId="69" fillId="11" borderId="296" xfId="0" applyFont="1" applyFill="1" applyBorder="1" applyAlignment="1" applyProtection="1">
      <alignment horizontal="center" vertical="center"/>
      <protection hidden="1"/>
    </xf>
    <xf numFmtId="0" fontId="69" fillId="11" borderId="297" xfId="0" applyFont="1" applyFill="1" applyBorder="1" applyAlignment="1" applyProtection="1">
      <alignment horizontal="center" vertical="center"/>
      <protection hidden="1"/>
    </xf>
    <xf numFmtId="0" fontId="69" fillId="11" borderId="289" xfId="0" applyFont="1" applyFill="1" applyBorder="1" applyAlignment="1" applyProtection="1">
      <alignment horizontal="center" vertical="center"/>
      <protection hidden="1"/>
    </xf>
    <xf numFmtId="0" fontId="70" fillId="11" borderId="291" xfId="0" applyFont="1" applyFill="1" applyBorder="1" applyAlignment="1" applyProtection="1">
      <alignment horizontal="center" vertical="center"/>
      <protection hidden="1"/>
    </xf>
    <xf numFmtId="0" fontId="70" fillId="11" borderId="290" xfId="0" applyFont="1" applyFill="1" applyBorder="1" applyAlignment="1" applyProtection="1">
      <alignment horizontal="center" vertical="center"/>
      <protection hidden="1"/>
    </xf>
    <xf numFmtId="1" fontId="69" fillId="11" borderId="133" xfId="0" applyNumberFormat="1" applyFont="1" applyFill="1" applyBorder="1" applyAlignment="1" applyProtection="1">
      <alignment horizontal="center" vertical="center"/>
      <protection hidden="1"/>
    </xf>
    <xf numFmtId="0" fontId="69" fillId="11" borderId="133" xfId="0" applyFont="1" applyFill="1" applyBorder="1" applyAlignment="1" applyProtection="1">
      <alignment horizontal="center" vertical="center"/>
      <protection hidden="1"/>
    </xf>
    <xf numFmtId="1" fontId="69" fillId="11" borderId="111" xfId="0" applyNumberFormat="1" applyFont="1" applyFill="1" applyBorder="1" applyAlignment="1" applyProtection="1">
      <alignment horizontal="center" vertical="center"/>
      <protection hidden="1"/>
    </xf>
    <xf numFmtId="0" fontId="69" fillId="11" borderId="110" xfId="0" applyFont="1" applyFill="1" applyBorder="1" applyAlignment="1" applyProtection="1">
      <alignment horizontal="center" vertical="center"/>
      <protection hidden="1"/>
    </xf>
    <xf numFmtId="1" fontId="69" fillId="11" borderId="292" xfId="0" applyNumberFormat="1" applyFont="1" applyFill="1" applyBorder="1" applyAlignment="1" applyProtection="1">
      <alignment horizontal="center" vertical="center"/>
      <protection hidden="1"/>
    </xf>
    <xf numFmtId="0" fontId="69" fillId="11" borderId="293" xfId="0" applyFont="1" applyFill="1" applyBorder="1" applyAlignment="1" applyProtection="1">
      <alignment horizontal="center" vertical="center"/>
      <protection hidden="1"/>
    </xf>
    <xf numFmtId="164" fontId="43" fillId="0" borderId="119" xfId="0" applyNumberFormat="1" applyFont="1" applyBorder="1" applyAlignment="1" applyProtection="1">
      <alignment horizontal="center" vertical="center"/>
      <protection hidden="1"/>
    </xf>
    <xf numFmtId="164" fontId="43" fillId="0" borderId="207" xfId="0" applyNumberFormat="1" applyFont="1" applyBorder="1" applyAlignment="1" applyProtection="1">
      <alignment horizontal="center" vertical="center"/>
      <protection hidden="1"/>
    </xf>
    <xf numFmtId="167" fontId="9" fillId="0" borderId="298" xfId="0" applyNumberFormat="1" applyFont="1" applyBorder="1" applyAlignment="1" applyProtection="1">
      <alignment horizontal="center" vertical="center"/>
      <protection hidden="1"/>
    </xf>
    <xf numFmtId="0" fontId="69" fillId="11" borderId="287" xfId="0" applyFont="1" applyFill="1" applyBorder="1" applyAlignment="1" applyProtection="1">
      <alignment horizontal="center" vertical="center"/>
      <protection hidden="1"/>
    </xf>
    <xf numFmtId="0" fontId="69" fillId="11" borderId="286" xfId="0" applyFont="1" applyFill="1" applyBorder="1" applyAlignment="1" applyProtection="1">
      <alignment horizontal="center" vertical="center"/>
      <protection hidden="1"/>
    </xf>
    <xf numFmtId="0" fontId="69" fillId="11" borderId="288" xfId="0" applyFont="1" applyFill="1" applyBorder="1" applyAlignment="1" applyProtection="1">
      <alignment horizontal="center" vertical="center"/>
      <protection hidden="1"/>
    </xf>
    <xf numFmtId="0" fontId="69" fillId="11" borderId="137" xfId="0" applyFont="1" applyFill="1" applyBorder="1" applyAlignment="1" applyProtection="1">
      <alignment horizontal="center" vertical="center"/>
      <protection hidden="1"/>
    </xf>
    <xf numFmtId="167" fontId="9" fillId="0" borderId="291" xfId="0" applyNumberFormat="1" applyFont="1" applyBorder="1" applyAlignment="1" applyProtection="1">
      <alignment horizontal="center"/>
      <protection hidden="1"/>
    </xf>
    <xf numFmtId="167" fontId="9" fillId="0" borderId="290" xfId="0" applyNumberFormat="1" applyFont="1" applyBorder="1" applyAlignment="1" applyProtection="1">
      <alignment horizontal="center"/>
      <protection hidden="1"/>
    </xf>
    <xf numFmtId="167" fontId="9" fillId="0" borderId="298" xfId="0" applyNumberFormat="1" applyFont="1" applyBorder="1" applyAlignment="1" applyProtection="1">
      <alignment horizontal="center"/>
      <protection hidden="1"/>
    </xf>
    <xf numFmtId="0" fontId="69" fillId="11" borderId="290" xfId="0" applyFont="1" applyFill="1" applyBorder="1" applyAlignment="1" applyProtection="1">
      <alignment horizontal="center" vertical="center"/>
      <protection hidden="1"/>
    </xf>
    <xf numFmtId="0" fontId="69" fillId="11" borderId="291" xfId="0" applyFont="1" applyFill="1" applyBorder="1" applyAlignment="1" applyProtection="1">
      <alignment horizontal="center" vertical="center"/>
      <protection hidden="1"/>
    </xf>
    <xf numFmtId="167" fontId="9" fillId="8" borderId="142" xfId="0" applyNumberFormat="1" applyFont="1" applyFill="1" applyBorder="1" applyAlignment="1" applyProtection="1">
      <alignment horizontal="center"/>
      <protection hidden="1"/>
    </xf>
    <xf numFmtId="167" fontId="9" fillId="8" borderId="149" xfId="0" applyNumberFormat="1" applyFont="1" applyFill="1" applyBorder="1" applyAlignment="1" applyProtection="1">
      <alignment horizontal="center"/>
      <protection hidden="1"/>
    </xf>
    <xf numFmtId="167" fontId="10" fillId="8" borderId="150" xfId="0" applyNumberFormat="1" applyFont="1" applyFill="1" applyBorder="1" applyAlignment="1" applyProtection="1">
      <alignment horizontal="center"/>
      <protection hidden="1"/>
    </xf>
    <xf numFmtId="167" fontId="10" fillId="8" borderId="214" xfId="0" applyNumberFormat="1" applyFont="1" applyFill="1" applyBorder="1" applyAlignment="1" applyProtection="1">
      <alignment horizontal="center"/>
      <protection hidden="1"/>
    </xf>
    <xf numFmtId="167" fontId="10" fillId="0" borderId="179" xfId="0" applyNumberFormat="1" applyFont="1" applyBorder="1" applyAlignment="1" applyProtection="1">
      <alignment horizontal="center" vertical="center"/>
      <protection hidden="1"/>
    </xf>
    <xf numFmtId="167" fontId="9" fillId="8" borderId="150" xfId="0" applyNumberFormat="1" applyFont="1" applyFill="1" applyBorder="1" applyAlignment="1" applyProtection="1">
      <alignment horizontal="center"/>
      <protection hidden="1"/>
    </xf>
    <xf numFmtId="167" fontId="9" fillId="8" borderId="214" xfId="0" applyNumberFormat="1" applyFont="1" applyFill="1" applyBorder="1" applyAlignment="1" applyProtection="1">
      <alignment horizontal="center"/>
      <protection hidden="1"/>
    </xf>
    <xf numFmtId="167" fontId="9" fillId="0" borderId="179" xfId="0" applyNumberFormat="1" applyFont="1" applyBorder="1" applyAlignment="1" applyProtection="1">
      <alignment horizontal="center" vertical="center"/>
      <protection hidden="1"/>
    </xf>
    <xf numFmtId="167" fontId="10" fillId="0" borderId="206" xfId="0" applyNumberFormat="1" applyFont="1" applyBorder="1" applyAlignment="1" applyProtection="1">
      <alignment horizontal="center"/>
      <protection hidden="1"/>
    </xf>
    <xf numFmtId="167" fontId="10" fillId="0" borderId="213" xfId="0" applyNumberFormat="1" applyFont="1" applyBorder="1" applyAlignment="1" applyProtection="1">
      <alignment horizontal="center"/>
      <protection hidden="1"/>
    </xf>
    <xf numFmtId="167" fontId="43" fillId="0" borderId="206" xfId="0" applyNumberFormat="1" applyFont="1" applyBorder="1" applyProtection="1">
      <protection hidden="1"/>
    </xf>
    <xf numFmtId="167" fontId="43" fillId="0" borderId="213" xfId="0" applyNumberFormat="1" applyFont="1" applyBorder="1" applyProtection="1">
      <protection hidden="1"/>
    </xf>
    <xf numFmtId="167" fontId="43" fillId="8" borderId="150" xfId="0" applyNumberFormat="1" applyFont="1" applyFill="1" applyBorder="1" applyAlignment="1" applyProtection="1">
      <alignment horizontal="left"/>
      <protection hidden="1"/>
    </xf>
    <xf numFmtId="167" fontId="43" fillId="8" borderId="214" xfId="0" applyNumberFormat="1" applyFont="1" applyFill="1" applyBorder="1" applyAlignment="1" applyProtection="1">
      <alignment horizontal="left"/>
      <protection hidden="1"/>
    </xf>
    <xf numFmtId="167" fontId="43" fillId="0" borderId="179" xfId="0" applyNumberFormat="1" applyFont="1" applyBorder="1" applyAlignment="1" applyProtection="1">
      <alignment horizontal="center" vertical="center"/>
      <protection hidden="1"/>
    </xf>
    <xf numFmtId="167" fontId="43" fillId="0" borderId="119" xfId="0" applyNumberFormat="1" applyFont="1" applyBorder="1" applyAlignment="1" applyProtection="1">
      <alignment horizontal="center" vertical="center"/>
      <protection hidden="1"/>
    </xf>
    <xf numFmtId="167" fontId="43" fillId="0" borderId="207" xfId="0" applyNumberFormat="1" applyFont="1" applyBorder="1" applyAlignment="1" applyProtection="1">
      <alignment horizontal="center" vertical="center"/>
      <protection hidden="1"/>
    </xf>
    <xf numFmtId="0" fontId="70" fillId="11" borderId="126" xfId="0" applyFont="1" applyFill="1" applyBorder="1" applyAlignment="1" applyProtection="1">
      <alignment horizontal="center" vertical="center"/>
      <protection hidden="1"/>
    </xf>
    <xf numFmtId="0" fontId="70" fillId="11" borderId="142" xfId="0" applyFont="1" applyFill="1" applyBorder="1" applyAlignment="1" applyProtection="1">
      <alignment horizontal="center" vertical="center"/>
      <protection hidden="1"/>
    </xf>
    <xf numFmtId="167" fontId="9" fillId="8" borderId="291" xfId="0" applyNumberFormat="1" applyFont="1" applyFill="1" applyBorder="1" applyAlignment="1" applyProtection="1">
      <alignment horizontal="center"/>
      <protection hidden="1"/>
    </xf>
    <xf numFmtId="167" fontId="9" fillId="8" borderId="298" xfId="0" applyNumberFormat="1" applyFont="1" applyFill="1" applyBorder="1" applyAlignment="1" applyProtection="1">
      <alignment horizontal="center"/>
      <protection hidden="1"/>
    </xf>
    <xf numFmtId="167" fontId="9" fillId="0" borderId="299" xfId="0" applyNumberFormat="1" applyFont="1" applyBorder="1" applyAlignment="1" applyProtection="1">
      <alignment horizontal="center" vertical="center"/>
      <protection hidden="1"/>
    </xf>
    <xf numFmtId="0" fontId="10" fillId="6" borderId="302" xfId="0" applyFont="1" applyFill="1" applyBorder="1" applyAlignment="1" applyProtection="1">
      <alignment horizontal="center"/>
      <protection hidden="1"/>
    </xf>
    <xf numFmtId="0" fontId="10" fillId="6" borderId="134" xfId="0" applyFont="1" applyFill="1" applyBorder="1" applyAlignment="1" applyProtection="1">
      <alignment horizontal="center"/>
      <protection hidden="1"/>
    </xf>
    <xf numFmtId="0" fontId="10" fillId="6" borderId="179" xfId="0" applyFont="1" applyFill="1" applyBorder="1" applyAlignment="1" applyProtection="1">
      <alignment horizontal="center"/>
      <protection hidden="1"/>
    </xf>
    <xf numFmtId="167" fontId="10" fillId="0" borderId="134" xfId="0" applyNumberFormat="1" applyFont="1" applyBorder="1" applyAlignment="1" applyProtection="1">
      <alignment horizontal="center" vertical="center"/>
      <protection hidden="1"/>
    </xf>
    <xf numFmtId="0" fontId="10" fillId="0" borderId="150" xfId="0" applyFont="1" applyBorder="1" applyAlignment="1" applyProtection="1">
      <alignment horizontal="left" vertical="center" wrapText="1"/>
      <protection hidden="1"/>
    </xf>
    <xf numFmtId="167" fontId="9" fillId="0" borderId="134" xfId="0" applyNumberFormat="1" applyFont="1" applyBorder="1" applyAlignment="1" applyProtection="1">
      <alignment horizontal="center" vertical="center"/>
      <protection hidden="1"/>
    </xf>
    <xf numFmtId="167" fontId="10" fillId="0" borderId="140" xfId="0" applyNumberFormat="1" applyFont="1" applyBorder="1" applyAlignment="1" applyProtection="1">
      <alignment horizontal="center" vertical="center"/>
      <protection hidden="1"/>
    </xf>
    <xf numFmtId="167" fontId="10" fillId="0" borderId="139" xfId="0" applyNumberFormat="1" applyFont="1" applyBorder="1" applyAlignment="1" applyProtection="1">
      <alignment horizontal="center" vertical="center"/>
      <protection hidden="1"/>
    </xf>
    <xf numFmtId="167" fontId="10" fillId="0" borderId="281" xfId="0" applyNumberFormat="1" applyFont="1" applyBorder="1" applyAlignment="1" applyProtection="1">
      <alignment horizontal="center" vertical="center"/>
      <protection hidden="1"/>
    </xf>
    <xf numFmtId="167" fontId="10" fillId="6" borderId="140" xfId="0" applyNumberFormat="1" applyFont="1" applyFill="1" applyBorder="1" applyAlignment="1" applyProtection="1">
      <alignment horizontal="center" vertical="center"/>
      <protection hidden="1"/>
    </xf>
    <xf numFmtId="167" fontId="10" fillId="6" borderId="139" xfId="0" applyNumberFormat="1" applyFont="1" applyFill="1" applyBorder="1" applyAlignment="1" applyProtection="1">
      <alignment horizontal="center" vertical="center"/>
      <protection hidden="1"/>
    </xf>
    <xf numFmtId="0" fontId="69" fillId="11" borderId="259" xfId="0" applyFont="1" applyFill="1" applyBorder="1" applyAlignment="1" applyProtection="1">
      <alignment horizontal="center" vertical="center"/>
      <protection hidden="1"/>
    </xf>
    <xf numFmtId="0" fontId="69" fillId="11" borderId="108" xfId="0" applyFont="1" applyFill="1" applyBorder="1" applyAlignment="1" applyProtection="1">
      <alignment horizontal="center" vertical="center"/>
      <protection hidden="1"/>
    </xf>
    <xf numFmtId="167" fontId="10" fillId="0" borderId="253" xfId="0" applyNumberFormat="1" applyFont="1" applyBorder="1" applyAlignment="1">
      <alignment horizontal="center" vertical="center" shrinkToFit="1"/>
    </xf>
    <xf numFmtId="167" fontId="10" fillId="0" borderId="254" xfId="0" applyNumberFormat="1" applyFont="1" applyBorder="1" applyAlignment="1">
      <alignment horizontal="center" vertical="center" shrinkToFit="1"/>
    </xf>
    <xf numFmtId="0" fontId="69" fillId="11" borderId="235" xfId="0" applyFont="1" applyFill="1" applyBorder="1" applyAlignment="1" applyProtection="1">
      <alignment horizontal="center" vertical="center"/>
      <protection hidden="1"/>
    </xf>
    <xf numFmtId="0" fontId="69" fillId="11" borderId="236" xfId="0" applyFont="1" applyFill="1" applyBorder="1" applyAlignment="1" applyProtection="1">
      <alignment horizontal="center" vertical="center"/>
      <protection hidden="1"/>
    </xf>
    <xf numFmtId="166" fontId="10" fillId="0" borderId="119" xfId="2" applyNumberFormat="1" applyFont="1" applyBorder="1" applyAlignment="1" applyProtection="1">
      <alignment horizontal="center" vertical="center"/>
      <protection hidden="1"/>
    </xf>
    <xf numFmtId="0" fontId="67" fillId="0" borderId="122" xfId="0" applyFont="1" applyBorder="1" applyAlignment="1" applyProtection="1">
      <alignment horizontal="center" vertical="center"/>
      <protection hidden="1"/>
    </xf>
    <xf numFmtId="0" fontId="69" fillId="11" borderId="237" xfId="0" applyFont="1" applyFill="1" applyBorder="1" applyAlignment="1" applyProtection="1">
      <alignment horizontal="center" vertical="center"/>
      <protection hidden="1"/>
    </xf>
    <xf numFmtId="0" fontId="69" fillId="11" borderId="238" xfId="0" applyFont="1" applyFill="1" applyBorder="1" applyAlignment="1" applyProtection="1">
      <alignment horizontal="center" vertical="center"/>
      <protection hidden="1"/>
    </xf>
    <xf numFmtId="167" fontId="9" fillId="0" borderId="140" xfId="0" applyNumberFormat="1" applyFont="1" applyBorder="1" applyAlignment="1" applyProtection="1">
      <alignment horizontal="center" vertical="center"/>
      <protection hidden="1"/>
    </xf>
    <xf numFmtId="167" fontId="9" fillId="0" borderId="139" xfId="0" applyNumberFormat="1" applyFont="1" applyBorder="1" applyAlignment="1" applyProtection="1">
      <alignment horizontal="center" vertical="center"/>
      <protection hidden="1"/>
    </xf>
    <xf numFmtId="167" fontId="10" fillId="13" borderId="257" xfId="0" applyNumberFormat="1" applyFont="1" applyFill="1" applyBorder="1" applyAlignment="1">
      <alignment horizontal="center" vertical="center" shrinkToFit="1"/>
    </xf>
    <xf numFmtId="167" fontId="10" fillId="13" borderId="258" xfId="0" applyNumberFormat="1" applyFont="1" applyFill="1" applyBorder="1" applyAlignment="1">
      <alignment horizontal="center" vertical="center" shrinkToFit="1"/>
    </xf>
    <xf numFmtId="167" fontId="10" fillId="0" borderId="257" xfId="0" applyNumberFormat="1" applyFont="1" applyBorder="1" applyAlignment="1">
      <alignment horizontal="center" vertical="center" shrinkToFit="1"/>
    </xf>
    <xf numFmtId="167" fontId="10" fillId="0" borderId="258" xfId="0" applyNumberFormat="1" applyFont="1" applyBorder="1" applyAlignment="1">
      <alignment horizontal="center" vertical="center" shrinkToFit="1"/>
    </xf>
    <xf numFmtId="164" fontId="43" fillId="0" borderId="253" xfId="0" applyNumberFormat="1" applyFont="1" applyBorder="1" applyAlignment="1">
      <alignment horizontal="center" vertical="center" shrinkToFit="1"/>
    </xf>
    <xf numFmtId="164" fontId="43" fillId="0" borderId="254" xfId="0" applyNumberFormat="1" applyFont="1" applyBorder="1" applyAlignment="1">
      <alignment horizontal="center" vertical="center" shrinkToFit="1"/>
    </xf>
    <xf numFmtId="167" fontId="10" fillId="0" borderId="294" xfId="0" applyNumberFormat="1" applyFont="1" applyBorder="1" applyAlignment="1">
      <alignment horizontal="center" vertical="center" shrinkToFit="1"/>
    </xf>
    <xf numFmtId="167" fontId="10" fillId="0" borderId="295" xfId="0" applyNumberFormat="1" applyFont="1" applyBorder="1" applyAlignment="1">
      <alignment horizontal="center" vertical="center" shrinkToFit="1"/>
    </xf>
    <xf numFmtId="0" fontId="7" fillId="0" borderId="0" xfId="0" applyFont="1" applyAlignment="1" applyProtection="1">
      <alignment horizontal="left" shrinkToFit="1"/>
      <protection hidden="1"/>
    </xf>
    <xf numFmtId="0" fontId="0" fillId="0" borderId="0" xfId="0" applyAlignment="1">
      <alignment horizontal="left" shrinkToFit="1"/>
    </xf>
    <xf numFmtId="0" fontId="71" fillId="11" borderId="242" xfId="0" applyFont="1" applyFill="1" applyBorder="1" applyAlignment="1">
      <alignment horizontal="center" vertical="center" wrapText="1"/>
    </xf>
    <xf numFmtId="0" fontId="71" fillId="11" borderId="243" xfId="0" applyFont="1" applyFill="1" applyBorder="1" applyAlignment="1">
      <alignment horizontal="center" vertical="center" wrapText="1"/>
    </xf>
    <xf numFmtId="0" fontId="70" fillId="11" borderId="359" xfId="0" applyFont="1" applyFill="1" applyBorder="1" applyAlignment="1">
      <alignment horizontal="center" vertical="center" wrapText="1"/>
    </xf>
    <xf numFmtId="0" fontId="70" fillId="11" borderId="315" xfId="0" applyFont="1" applyFill="1" applyBorder="1" applyAlignment="1">
      <alignment horizontal="center" vertical="center" wrapText="1"/>
    </xf>
    <xf numFmtId="166" fontId="43" fillId="0" borderId="253" xfId="0" applyNumberFormat="1" applyFont="1" applyBorder="1" applyAlignment="1">
      <alignment horizontal="center" vertical="center" shrinkToFit="1"/>
    </xf>
    <xf numFmtId="166" fontId="43" fillId="0" borderId="254" xfId="0" applyNumberFormat="1" applyFont="1" applyBorder="1" applyAlignment="1">
      <alignment horizontal="center" vertical="center" shrinkToFit="1"/>
    </xf>
    <xf numFmtId="166" fontId="10" fillId="0" borderId="253" xfId="2" applyNumberFormat="1" applyFont="1" applyBorder="1" applyAlignment="1">
      <alignment horizontal="center" vertical="center" shrinkToFit="1"/>
    </xf>
    <xf numFmtId="166" fontId="10" fillId="0" borderId="254" xfId="2" applyNumberFormat="1" applyFont="1" applyBorder="1" applyAlignment="1">
      <alignment horizontal="center" vertical="center" shrinkToFit="1"/>
    </xf>
    <xf numFmtId="0" fontId="69" fillId="11" borderId="111" xfId="0" applyFont="1" applyFill="1" applyBorder="1" applyAlignment="1" applyProtection="1">
      <alignment horizontal="center" vertical="center"/>
      <protection hidden="1"/>
    </xf>
    <xf numFmtId="167" fontId="9" fillId="0" borderId="281" xfId="0" applyNumberFormat="1" applyFont="1" applyBorder="1" applyAlignment="1" applyProtection="1">
      <alignment horizontal="center" vertical="center"/>
      <protection hidden="1"/>
    </xf>
    <xf numFmtId="166" fontId="43" fillId="0" borderId="255" xfId="0" applyNumberFormat="1" applyFont="1" applyBorder="1" applyAlignment="1">
      <alignment horizontal="center" vertical="center" shrinkToFit="1"/>
    </xf>
    <xf numFmtId="166" fontId="43" fillId="0" borderId="256" xfId="0" applyNumberFormat="1" applyFont="1" applyBorder="1" applyAlignment="1">
      <alignment horizontal="center" vertical="center" shrinkToFit="1"/>
    </xf>
    <xf numFmtId="14" fontId="9" fillId="0" borderId="0" xfId="0" applyNumberFormat="1" applyFont="1" applyAlignment="1">
      <alignment horizontal="left" shrinkToFit="1"/>
    </xf>
    <xf numFmtId="0" fontId="10" fillId="8" borderId="146" xfId="0" applyFont="1" applyFill="1" applyBorder="1" applyAlignment="1" applyProtection="1">
      <alignment horizontal="left" vertical="center"/>
      <protection hidden="1"/>
    </xf>
    <xf numFmtId="0" fontId="10" fillId="8" borderId="366" xfId="0" applyFont="1" applyFill="1" applyBorder="1" applyAlignment="1" applyProtection="1">
      <alignment horizontal="left" vertical="center"/>
      <protection hidden="1"/>
    </xf>
    <xf numFmtId="0" fontId="10" fillId="8" borderId="135" xfId="0" applyFont="1" applyFill="1" applyBorder="1" applyAlignment="1" applyProtection="1">
      <alignment horizontal="left" vertical="center"/>
      <protection hidden="1"/>
    </xf>
    <xf numFmtId="0" fontId="10" fillId="8" borderId="367" xfId="0" applyFont="1" applyFill="1" applyBorder="1" applyAlignment="1" applyProtection="1">
      <alignment horizontal="left" vertical="center"/>
      <protection hidden="1"/>
    </xf>
    <xf numFmtId="0" fontId="10" fillId="8" borderId="218" xfId="0" applyFont="1" applyFill="1" applyBorder="1" applyAlignment="1" applyProtection="1">
      <alignment horizontal="left" vertical="center"/>
      <protection hidden="1"/>
    </xf>
    <xf numFmtId="0" fontId="10" fillId="8" borderId="368" xfId="0" applyFont="1" applyFill="1" applyBorder="1" applyAlignment="1" applyProtection="1">
      <alignment horizontal="left" vertical="center"/>
      <protection hidden="1"/>
    </xf>
    <xf numFmtId="0" fontId="10" fillId="8" borderId="71" xfId="0" applyFont="1" applyFill="1" applyBorder="1" applyAlignment="1" applyProtection="1">
      <alignment horizontal="left" vertical="center"/>
      <protection hidden="1"/>
    </xf>
    <xf numFmtId="0" fontId="10" fillId="8" borderId="369" xfId="0" applyFont="1" applyFill="1" applyBorder="1" applyAlignment="1" applyProtection="1">
      <alignment horizontal="left" vertical="center"/>
      <protection hidden="1"/>
    </xf>
    <xf numFmtId="0" fontId="70" fillId="11" borderId="358" xfId="0" applyFont="1" applyFill="1" applyBorder="1" applyAlignment="1">
      <alignment horizontal="center" vertical="center" wrapText="1"/>
    </xf>
    <xf numFmtId="0" fontId="70" fillId="11" borderId="314" xfId="0" applyFont="1" applyFill="1" applyBorder="1" applyAlignment="1">
      <alignment horizontal="center" vertical="center" wrapText="1"/>
    </xf>
    <xf numFmtId="0" fontId="69" fillId="11" borderId="304" xfId="0" applyFont="1" applyFill="1" applyBorder="1" applyAlignment="1">
      <alignment horizontal="center" shrinkToFit="1"/>
    </xf>
    <xf numFmtId="0" fontId="69" fillId="11" borderId="239" xfId="0" applyFont="1" applyFill="1" applyBorder="1" applyAlignment="1">
      <alignment horizontal="center" shrinkToFit="1"/>
    </xf>
    <xf numFmtId="0" fontId="69" fillId="11" borderId="305" xfId="0" applyFont="1" applyFill="1" applyBorder="1" applyAlignment="1">
      <alignment horizontal="center" shrinkToFit="1"/>
    </xf>
    <xf numFmtId="0" fontId="69" fillId="11" borderId="306" xfId="0" applyFont="1" applyFill="1" applyBorder="1" applyAlignment="1">
      <alignment horizontal="center" shrinkToFit="1"/>
    </xf>
    <xf numFmtId="0" fontId="69" fillId="11" borderId="0" xfId="0" applyFont="1" applyFill="1" applyAlignment="1">
      <alignment horizontal="center" shrinkToFit="1"/>
    </xf>
    <xf numFmtId="0" fontId="69" fillId="11" borderId="307" xfId="0" applyFont="1" applyFill="1" applyBorder="1" applyAlignment="1">
      <alignment horizontal="center" shrinkToFit="1"/>
    </xf>
    <xf numFmtId="0" fontId="69" fillId="11" borderId="332" xfId="0" applyFont="1" applyFill="1" applyBorder="1" applyAlignment="1">
      <alignment horizontal="center" shrinkToFit="1"/>
    </xf>
    <xf numFmtId="0" fontId="69" fillId="11" borderId="107" xfId="0" applyFont="1" applyFill="1" applyBorder="1" applyAlignment="1">
      <alignment horizontal="center" shrinkToFit="1"/>
    </xf>
    <xf numFmtId="0" fontId="69" fillId="11" borderId="333" xfId="0" applyFont="1" applyFill="1" applyBorder="1" applyAlignment="1">
      <alignment horizontal="center" shrinkToFit="1"/>
    </xf>
    <xf numFmtId="0" fontId="69" fillId="11" borderId="118" xfId="0" applyFont="1" applyFill="1" applyBorder="1" applyAlignment="1">
      <alignment horizontal="center" shrinkToFit="1"/>
    </xf>
    <xf numFmtId="0" fontId="69" fillId="11" borderId="121" xfId="0" applyFont="1" applyFill="1" applyBorder="1" applyAlignment="1">
      <alignment horizontal="center" shrinkToFit="1"/>
    </xf>
    <xf numFmtId="0" fontId="10" fillId="8" borderId="372" xfId="0" applyFont="1" applyFill="1" applyBorder="1" applyAlignment="1" applyProtection="1">
      <alignment horizontal="left" vertical="center"/>
      <protection hidden="1"/>
    </xf>
    <xf numFmtId="0" fontId="10" fillId="8" borderId="373" xfId="0" applyFont="1" applyFill="1" applyBorder="1" applyAlignment="1" applyProtection="1">
      <alignment horizontal="left" vertical="center"/>
      <protection hidden="1"/>
    </xf>
    <xf numFmtId="0" fontId="10" fillId="8" borderId="374" xfId="0" applyFont="1" applyFill="1" applyBorder="1" applyAlignment="1" applyProtection="1">
      <alignment horizontal="left" vertical="center"/>
      <protection hidden="1"/>
    </xf>
    <xf numFmtId="0" fontId="10" fillId="8" borderId="375" xfId="0" applyFont="1" applyFill="1" applyBorder="1" applyAlignment="1" applyProtection="1">
      <alignment horizontal="left" vertical="center"/>
      <protection hidden="1"/>
    </xf>
    <xf numFmtId="0" fontId="5" fillId="7" borderId="0" xfId="0" applyFont="1" applyFill="1" applyAlignment="1" applyProtection="1">
      <alignment horizontal="left" vertical="center"/>
      <protection locked="0"/>
    </xf>
    <xf numFmtId="0" fontId="5" fillId="7" borderId="17" xfId="0" applyFont="1" applyFill="1" applyBorder="1" applyAlignment="1" applyProtection="1">
      <alignment horizontal="left" vertical="center"/>
      <protection locked="0"/>
    </xf>
    <xf numFmtId="0" fontId="75" fillId="0" borderId="203" xfId="0" applyFont="1" applyBorder="1" applyAlignment="1" applyProtection="1">
      <alignment horizontal="left" vertical="center" indent="1"/>
      <protection hidden="1"/>
    </xf>
    <xf numFmtId="0" fontId="54" fillId="11" borderId="286" xfId="0" applyFont="1" applyFill="1" applyBorder="1" applyAlignment="1" applyProtection="1">
      <alignment horizontal="left" vertical="center" indent="1"/>
      <protection hidden="1"/>
    </xf>
    <xf numFmtId="0" fontId="54" fillId="11" borderId="287" xfId="0" applyFont="1" applyFill="1" applyBorder="1" applyAlignment="1" applyProtection="1">
      <alignment horizontal="left" vertical="center" indent="1"/>
      <protection hidden="1"/>
    </xf>
    <xf numFmtId="0" fontId="54" fillId="11" borderId="126" xfId="0" applyFont="1" applyFill="1" applyBorder="1" applyAlignment="1" applyProtection="1">
      <alignment horizontal="left" vertical="center" indent="1"/>
      <protection hidden="1"/>
    </xf>
  </cellXfs>
  <cellStyles count="3">
    <cellStyle name="Normaali" xfId="0" builtinId="0"/>
    <cellStyle name="Normaali 13" xfId="1" xr:uid="{00000000-0005-0000-0000-000001000000}"/>
    <cellStyle name="Prosenttia" xfId="2" builtinId="5"/>
  </cellStyles>
  <dxfs count="57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0152A1"/>
      <color rgb="FF000080"/>
      <color rgb="FF1F497D"/>
      <color rgb="FF000066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'8. T5 KASSABUDJETTI'!$C$61</c:f>
              <c:strCache>
                <c:ptCount val="1"/>
                <c:pt idx="0">
                  <c:v>TULOT - MENOT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KASSABUDJETTI'!$G$16:$R$16</c:f>
              <c:numCache>
                <c:formatCode>mmm\-yy</c:formatCode>
                <c:ptCount val="12"/>
                <c:pt idx="0">
                  <c:v>45292</c:v>
                </c:pt>
                <c:pt idx="1">
                  <c:v>45323</c:v>
                </c:pt>
                <c:pt idx="2">
                  <c:v>45354</c:v>
                </c:pt>
                <c:pt idx="3">
                  <c:v>45385</c:v>
                </c:pt>
                <c:pt idx="4">
                  <c:v>45416</c:v>
                </c:pt>
                <c:pt idx="5">
                  <c:v>45447</c:v>
                </c:pt>
                <c:pt idx="6">
                  <c:v>45478</c:v>
                </c:pt>
                <c:pt idx="7">
                  <c:v>45509</c:v>
                </c:pt>
                <c:pt idx="8">
                  <c:v>45540</c:v>
                </c:pt>
                <c:pt idx="9">
                  <c:v>45571</c:v>
                </c:pt>
                <c:pt idx="10">
                  <c:v>45602</c:v>
                </c:pt>
                <c:pt idx="11">
                  <c:v>45633</c:v>
                </c:pt>
              </c:numCache>
            </c:numRef>
          </c:cat>
          <c:val>
            <c:numRef>
              <c:f>'8. T5 KASSABUDJETTI'!$G$61:$R$61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6-4835-825D-A8A2EDD48ECE}"/>
            </c:ext>
          </c:extLst>
        </c:ser>
        <c:ser>
          <c:idx val="1"/>
          <c:order val="1"/>
          <c:tx>
            <c:strRef>
              <c:f>'8. T5 KASSABUDJETTI'!$C$62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pattFill prst="ltUpDiag">
              <a:fgClr>
                <a:srgbClr val="C00000"/>
              </a:fgClr>
              <a:bgClr>
                <a:schemeClr val="bg1"/>
              </a:bgClr>
            </a:patt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KASSABUDJETTI'!$G$16:$R$16</c:f>
              <c:numCache>
                <c:formatCode>mmm\-yy</c:formatCode>
                <c:ptCount val="12"/>
                <c:pt idx="0">
                  <c:v>45292</c:v>
                </c:pt>
                <c:pt idx="1">
                  <c:v>45323</c:v>
                </c:pt>
                <c:pt idx="2">
                  <c:v>45354</c:v>
                </c:pt>
                <c:pt idx="3">
                  <c:v>45385</c:v>
                </c:pt>
                <c:pt idx="4">
                  <c:v>45416</c:v>
                </c:pt>
                <c:pt idx="5">
                  <c:v>45447</c:v>
                </c:pt>
                <c:pt idx="6">
                  <c:v>45478</c:v>
                </c:pt>
                <c:pt idx="7">
                  <c:v>45509</c:v>
                </c:pt>
                <c:pt idx="8">
                  <c:v>45540</c:v>
                </c:pt>
                <c:pt idx="9">
                  <c:v>45571</c:v>
                </c:pt>
                <c:pt idx="10">
                  <c:v>45602</c:v>
                </c:pt>
                <c:pt idx="11">
                  <c:v>45633</c:v>
                </c:pt>
              </c:numCache>
            </c:numRef>
          </c:cat>
          <c:val>
            <c:numRef>
              <c:f>'8. T5 KASSABUDJETTI'!$G$62:$R$62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6-4835-825D-A8A2EDD48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ayout>
        <c:manualLayout>
          <c:xMode val="edge"/>
          <c:yMode val="edge"/>
          <c:x val="0.15539598312873548"/>
          <c:y val="1.101357417639519E-2"/>
          <c:w val="0.70509605950249377"/>
          <c:h val="9.9122167587556709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9261871407178396E-2"/>
          <c:y val="0.160146804835924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</c:numCache>
            </c:numRef>
          </c:cat>
          <c:val>
            <c:numRef>
              <c:f>Kaaviot!$C$3:$F$3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E-4F38-B924-D74A530538C3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</c:numCache>
            </c:numRef>
          </c:cat>
          <c:val>
            <c:numRef>
              <c:f>Kaaviot!$C$4:$F$4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E-4F38-B924-D74A530538C3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</c:numCache>
            </c:numRef>
          </c:cat>
          <c:val>
            <c:numRef>
              <c:f>Kaaviot!$C$5:$F$5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E-4F38-B924-D74A530538C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 </a:t>
            </a:r>
          </a:p>
        </c:rich>
      </c:tx>
      <c:layout>
        <c:manualLayout>
          <c:xMode val="edge"/>
          <c:yMode val="edge"/>
          <c:x val="0.30415511240442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</c:numCache>
            </c:numRef>
          </c:cat>
          <c:val>
            <c:numRef>
              <c:f>Kaaviot!$C$27:$F$27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369-91DA-E962B9CF0AC3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</c:numCache>
            </c:numRef>
          </c:cat>
          <c:val>
            <c:numRef>
              <c:f>Kaaviot!$C$28:$F$28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369-91DA-E962B9CF0AC3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</c:numCache>
            </c:numRef>
          </c:cat>
          <c:val>
            <c:numRef>
              <c:f>Kaaviot!$C$29:$F$29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369-91DA-E962B9CF0AC3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7-46C1-86B7-3F88E558EF5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Nettovarallisuus 1000 € </a:t>
            </a:r>
          </a:p>
        </c:rich>
      </c:tx>
      <c:layout>
        <c:manualLayout>
          <c:xMode val="edge"/>
          <c:yMode val="edge"/>
          <c:x val="0.34202230925035249"/>
          <c:y val="2.777783348598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</c:numCache>
            </c:numRef>
          </c:cat>
          <c:val>
            <c:numRef>
              <c:f>Kaaviot!$C$50:$F$50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D-4B93-B063-567837B737A9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</c:numCache>
            </c:numRef>
          </c:cat>
          <c:val>
            <c:numRef>
              <c:f>Kaaviot!$C$51:$F$51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D-4B93-B063-567837B737A9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</c:numCache>
            </c:numRef>
          </c:cat>
          <c:val>
            <c:numRef>
              <c:f>Kaaviot!$C$52:$F$52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D-4B93-B063-567837B737A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</c:numCache>
            </c:numRef>
          </c:cat>
          <c:val>
            <c:numRef>
              <c:f>Kaaviot!$C$3:$F$3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9-4762-AF1A-3944E50AA0D6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</c:numCache>
            </c:numRef>
          </c:cat>
          <c:val>
            <c:numRef>
              <c:f>Kaaviot!$C$4:$F$4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9-4762-AF1A-3944E50AA0D6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</c:numCache>
            </c:numRef>
          </c:cat>
          <c:val>
            <c:numRef>
              <c:f>Kaaviot!$C$5:$F$5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9-4762-AF1A-3944E50AA0D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2531983"/>
        <c:axId val="1688287663"/>
      </c:line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</a:t>
            </a:r>
            <a:r>
              <a:rPr lang="fi-FI" baseline="0"/>
              <a:t> kannattavuus 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</c:numCache>
            </c:numRef>
          </c:cat>
          <c:val>
            <c:numRef>
              <c:f>Kaaviot!$C$27:$F$27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C-40D6-821C-685436C17CF5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</c:numCache>
            </c:numRef>
          </c:cat>
          <c:val>
            <c:numRef>
              <c:f>Kaaviot!$C$28:$F$28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C-40D6-821C-685436C17CF5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</c:numCache>
            </c:numRef>
          </c:cat>
          <c:val>
            <c:numRef>
              <c:f>Kaaviot!$C$29:$F$29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C-40D6-821C-685436C17C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5814559"/>
        <c:axId val="1996122223"/>
      </c:line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</c:numCache>
            </c:numRef>
          </c:cat>
          <c:val>
            <c:numRef>
              <c:f>Kaaviot!$C$50:$F$50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0-4C93-9508-80A3514FE627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</c:numCache>
            </c:numRef>
          </c:cat>
          <c:val>
            <c:numRef>
              <c:f>Kaaviot!$C$51:$F$51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60-4C93-9508-80A3514FE627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</c:numCache>
            </c:numRef>
          </c:cat>
          <c:val>
            <c:numRef>
              <c:f>Kaaviot!$C$52:$F$52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60-4C93-9508-80A3514FE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'4. E2 LIIKEVAIHTO'!A1"/><Relationship Id="rId18" Type="http://schemas.openxmlformats.org/officeDocument/2006/relationships/image" Target="../media/image1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2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7.png"/><Relationship Id="rId17" Type="http://schemas.openxmlformats.org/officeDocument/2006/relationships/hyperlink" Target="#Tulostussivu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hyperlink" Target="#'8. T5 KASSABUDJETTI'!A1"/><Relationship Id="rId1" Type="http://schemas.openxmlformats.org/officeDocument/2006/relationships/image" Target="../media/image1.jpg"/><Relationship Id="rId6" Type="http://schemas.openxmlformats.org/officeDocument/2006/relationships/image" Target="../media/image4.png"/><Relationship Id="rId11" Type="http://schemas.openxmlformats.org/officeDocument/2006/relationships/hyperlink" Target="#'7. T2 TULOSSUUN.'!A1"/><Relationship Id="rId5" Type="http://schemas.openxmlformats.org/officeDocument/2006/relationships/hyperlink" Target="#'3. E1 KUSTANNUKSET'!A1"/><Relationship Id="rId15" Type="http://schemas.openxmlformats.org/officeDocument/2006/relationships/hyperlink" Target="#'2. T7 LAINAT'!A1"/><Relationship Id="rId10" Type="http://schemas.openxmlformats.org/officeDocument/2006/relationships/image" Target="../media/image6.png"/><Relationship Id="rId19" Type="http://schemas.openxmlformats.org/officeDocument/2006/relationships/image" Target="../media/image11.svg"/><Relationship Id="rId4" Type="http://schemas.openxmlformats.org/officeDocument/2006/relationships/image" Target="../media/image3.png"/><Relationship Id="rId9" Type="http://schemas.openxmlformats.org/officeDocument/2006/relationships/hyperlink" Target="#'6. T3 TASE'!A1"/><Relationship Id="rId14" Type="http://schemas.openxmlformats.org/officeDocument/2006/relationships/image" Target="../media/image8.png"/><Relationship Id="rId22" Type="http://schemas.openxmlformats.org/officeDocument/2006/relationships/image" Target="../media/image1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19.png"/><Relationship Id="rId18" Type="http://schemas.openxmlformats.org/officeDocument/2006/relationships/hyperlink" Target="#'8. T5 KASSABUDJETTI'!A1"/><Relationship Id="rId26" Type="http://schemas.openxmlformats.org/officeDocument/2006/relationships/image" Target="../media/image78.png"/><Relationship Id="rId3" Type="http://schemas.openxmlformats.org/officeDocument/2006/relationships/chart" Target="../charts/chart4.xml"/><Relationship Id="rId21" Type="http://schemas.openxmlformats.org/officeDocument/2006/relationships/image" Target="../media/image76.svg"/><Relationship Id="rId7" Type="http://schemas.openxmlformats.org/officeDocument/2006/relationships/image" Target="../media/image51.png"/><Relationship Id="rId12" Type="http://schemas.openxmlformats.org/officeDocument/2006/relationships/hyperlink" Target="#'4. E2 LIIKEVAIHTO'!A1"/><Relationship Id="rId17" Type="http://schemas.openxmlformats.org/officeDocument/2006/relationships/image" Target="../media/image73.png"/><Relationship Id="rId25" Type="http://schemas.openxmlformats.org/officeDocument/2006/relationships/image" Target="../media/image33.png"/><Relationship Id="rId2" Type="http://schemas.openxmlformats.org/officeDocument/2006/relationships/chart" Target="../charts/chart3.xml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75.png"/><Relationship Id="rId29" Type="http://schemas.openxmlformats.org/officeDocument/2006/relationships/image" Target="../media/image81.svg"/><Relationship Id="rId1" Type="http://schemas.openxmlformats.org/officeDocument/2006/relationships/chart" Target="../charts/chart2.xml"/><Relationship Id="rId6" Type="http://schemas.openxmlformats.org/officeDocument/2006/relationships/hyperlink" Target="#'3. E1 KUSTANNUKSET'!A1"/><Relationship Id="rId11" Type="http://schemas.openxmlformats.org/officeDocument/2006/relationships/image" Target="../media/image5.png"/><Relationship Id="rId24" Type="http://schemas.openxmlformats.org/officeDocument/2006/relationships/image" Target="../media/image56.png"/><Relationship Id="rId5" Type="http://schemas.openxmlformats.org/officeDocument/2006/relationships/image" Target="../media/image70.png"/><Relationship Id="rId15" Type="http://schemas.openxmlformats.org/officeDocument/2006/relationships/image" Target="../media/image72.png"/><Relationship Id="rId23" Type="http://schemas.openxmlformats.org/officeDocument/2006/relationships/image" Target="../media/image9.png"/><Relationship Id="rId28" Type="http://schemas.openxmlformats.org/officeDocument/2006/relationships/image" Target="../media/image80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74.png"/><Relationship Id="rId4" Type="http://schemas.openxmlformats.org/officeDocument/2006/relationships/hyperlink" Target="#'2. T7 LAINAT'!A1"/><Relationship Id="rId9" Type="http://schemas.openxmlformats.org/officeDocument/2006/relationships/image" Target="../media/image71.png"/><Relationship Id="rId14" Type="http://schemas.openxmlformats.org/officeDocument/2006/relationships/hyperlink" Target="#'6. T3 TASE'!A1"/><Relationship Id="rId22" Type="http://schemas.openxmlformats.org/officeDocument/2006/relationships/image" Target="../media/image77.jpeg"/><Relationship Id="rId27" Type="http://schemas.openxmlformats.org/officeDocument/2006/relationships/image" Target="../media/image7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19.png"/><Relationship Id="rId18" Type="http://schemas.openxmlformats.org/officeDocument/2006/relationships/image" Target="../media/image11.svg"/><Relationship Id="rId3" Type="http://schemas.openxmlformats.org/officeDocument/2006/relationships/image" Target="../media/image15.png"/><Relationship Id="rId7" Type="http://schemas.openxmlformats.org/officeDocument/2006/relationships/image" Target="../media/image17.png"/><Relationship Id="rId12" Type="http://schemas.openxmlformats.org/officeDocument/2006/relationships/hyperlink" Target="#'4. E2 LIIKEVAIHTO'!A1"/><Relationship Id="rId17" Type="http://schemas.openxmlformats.org/officeDocument/2006/relationships/image" Target="../media/image10.png"/><Relationship Id="rId2" Type="http://schemas.openxmlformats.org/officeDocument/2006/relationships/hyperlink" Target="#'2. T7 LAINAT'!A1"/><Relationship Id="rId16" Type="http://schemas.openxmlformats.org/officeDocument/2006/relationships/hyperlink" Target="#Tulostussivu!A1"/><Relationship Id="rId1" Type="http://schemas.openxmlformats.org/officeDocument/2006/relationships/image" Target="../media/image14.png"/><Relationship Id="rId6" Type="http://schemas.openxmlformats.org/officeDocument/2006/relationships/hyperlink" Target="#'8. T5 KASSABUDJETTI'!A1"/><Relationship Id="rId11" Type="http://schemas.openxmlformats.org/officeDocument/2006/relationships/image" Target="../media/image5.png"/><Relationship Id="rId5" Type="http://schemas.openxmlformats.org/officeDocument/2006/relationships/image" Target="../media/image16.png"/><Relationship Id="rId15" Type="http://schemas.openxmlformats.org/officeDocument/2006/relationships/image" Target="../media/image20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21.jpeg"/><Relationship Id="rId4" Type="http://schemas.openxmlformats.org/officeDocument/2006/relationships/hyperlink" Target="#'3. E1 KUSTANNUKSET'!A1"/><Relationship Id="rId9" Type="http://schemas.openxmlformats.org/officeDocument/2006/relationships/image" Target="../media/image18.png"/><Relationship Id="rId14" Type="http://schemas.openxmlformats.org/officeDocument/2006/relationships/hyperlink" Target="#'6. T3 TASE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7" Type="http://schemas.openxmlformats.org/officeDocument/2006/relationships/hyperlink" Target="#'5. T4 RAHOITUSSUUN.'!A1"/><Relationship Id="rId12" Type="http://schemas.openxmlformats.org/officeDocument/2006/relationships/image" Target="../media/image27.png"/><Relationship Id="rId17" Type="http://schemas.openxmlformats.org/officeDocument/2006/relationships/image" Target="../media/image10.png"/><Relationship Id="rId2" Type="http://schemas.openxmlformats.org/officeDocument/2006/relationships/image" Target="../media/image22.png"/><Relationship Id="rId16" Type="http://schemas.openxmlformats.org/officeDocument/2006/relationships/hyperlink" Target="#Tulostussivu!A1"/><Relationship Id="rId1" Type="http://schemas.openxmlformats.org/officeDocument/2006/relationships/hyperlink" Target="#'3. E1 KUSTANNUKSET'!A1"/><Relationship Id="rId6" Type="http://schemas.openxmlformats.org/officeDocument/2006/relationships/image" Target="../media/image24.png"/><Relationship Id="rId11" Type="http://schemas.openxmlformats.org/officeDocument/2006/relationships/hyperlink" Target="#'6. T3 TASE'!A1"/><Relationship Id="rId5" Type="http://schemas.openxmlformats.org/officeDocument/2006/relationships/hyperlink" Target="#'7. T2 TULOSSUUN.'!A1"/><Relationship Id="rId15" Type="http://schemas.openxmlformats.org/officeDocument/2006/relationships/image" Target="../media/image29.png"/><Relationship Id="rId10" Type="http://schemas.openxmlformats.org/officeDocument/2006/relationships/image" Target="../media/image26.png"/><Relationship Id="rId19" Type="http://schemas.openxmlformats.org/officeDocument/2006/relationships/image" Target="../media/image30.jpeg"/><Relationship Id="rId4" Type="http://schemas.openxmlformats.org/officeDocument/2006/relationships/image" Target="../media/image23.png"/><Relationship Id="rId9" Type="http://schemas.openxmlformats.org/officeDocument/2006/relationships/hyperlink" Target="#'4. E2 LIIKEVAIHTO'!A1"/><Relationship Id="rId14" Type="http://schemas.openxmlformats.org/officeDocument/2006/relationships/image" Target="../media/image2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7" Type="http://schemas.openxmlformats.org/officeDocument/2006/relationships/hyperlink" Target="#'5. T4 RAHOITUSSUUN.'!A1"/><Relationship Id="rId12" Type="http://schemas.openxmlformats.org/officeDocument/2006/relationships/image" Target="../media/image20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1" Type="http://schemas.openxmlformats.org/officeDocument/2006/relationships/hyperlink" Target="#'2. T7 LAINAT'!A1"/><Relationship Id="rId6" Type="http://schemas.openxmlformats.org/officeDocument/2006/relationships/image" Target="../media/image18.png"/><Relationship Id="rId11" Type="http://schemas.openxmlformats.org/officeDocument/2006/relationships/hyperlink" Target="#'6. T3 TASE'!A1"/><Relationship Id="rId5" Type="http://schemas.openxmlformats.org/officeDocument/2006/relationships/hyperlink" Target="#'7. T2 TULOSSUUN.'!A1"/><Relationship Id="rId15" Type="http://schemas.openxmlformats.org/officeDocument/2006/relationships/image" Target="../media/image35.png"/><Relationship Id="rId10" Type="http://schemas.openxmlformats.org/officeDocument/2006/relationships/image" Target="../media/image33.png"/><Relationship Id="rId19" Type="http://schemas.openxmlformats.org/officeDocument/2006/relationships/image" Target="../media/image36.jpeg"/><Relationship Id="rId4" Type="http://schemas.openxmlformats.org/officeDocument/2006/relationships/image" Target="../media/image31.png"/><Relationship Id="rId9" Type="http://schemas.openxmlformats.org/officeDocument/2006/relationships/hyperlink" Target="#'4. E2 LIIKEVAIHTO'!A1"/><Relationship Id="rId14" Type="http://schemas.openxmlformats.org/officeDocument/2006/relationships/image" Target="../media/image3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39.png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20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1" Type="http://schemas.openxmlformats.org/officeDocument/2006/relationships/hyperlink" Target="#'2. T7 LAINAT'!A1"/><Relationship Id="rId6" Type="http://schemas.openxmlformats.org/officeDocument/2006/relationships/image" Target="../media/image31.png"/><Relationship Id="rId11" Type="http://schemas.openxmlformats.org/officeDocument/2006/relationships/hyperlink" Target="#'6. T3 TASE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40.png"/><Relationship Id="rId10" Type="http://schemas.openxmlformats.org/officeDocument/2006/relationships/image" Target="../media/image38.png"/><Relationship Id="rId19" Type="http://schemas.openxmlformats.org/officeDocument/2006/relationships/image" Target="../media/image41.jpeg"/><Relationship Id="rId4" Type="http://schemas.openxmlformats.org/officeDocument/2006/relationships/image" Target="../media/image37.png"/><Relationship Id="rId9" Type="http://schemas.openxmlformats.org/officeDocument/2006/relationships/hyperlink" Target="#'5. T4 RAHOITUSSUUN.'!A1"/><Relationship Id="rId14" Type="http://schemas.openxmlformats.org/officeDocument/2006/relationships/hyperlink" Target="#'1. T1 INVESTOINTISUUN.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hyperlink" Target="#Tulostussivu!A1"/><Relationship Id="rId18" Type="http://schemas.openxmlformats.org/officeDocument/2006/relationships/image" Target="../media/image20.pn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45.png"/><Relationship Id="rId17" Type="http://schemas.openxmlformats.org/officeDocument/2006/relationships/hyperlink" Target="#'6. T3 TASE'!A1"/><Relationship Id="rId2" Type="http://schemas.openxmlformats.org/officeDocument/2006/relationships/image" Target="../media/image42.png"/><Relationship Id="rId16" Type="http://schemas.openxmlformats.org/officeDocument/2006/relationships/image" Target="../media/image46.png"/><Relationship Id="rId20" Type="http://schemas.openxmlformats.org/officeDocument/2006/relationships/image" Target="../media/image48.jpeg"/><Relationship Id="rId1" Type="http://schemas.openxmlformats.org/officeDocument/2006/relationships/hyperlink" Target="#'2. T7 LAINAT'!A1"/><Relationship Id="rId6" Type="http://schemas.openxmlformats.org/officeDocument/2006/relationships/image" Target="../media/image44.png"/><Relationship Id="rId11" Type="http://schemas.openxmlformats.org/officeDocument/2006/relationships/hyperlink" Target="#'1. T1 INVESTOINTISUUN.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11.svg"/><Relationship Id="rId10" Type="http://schemas.openxmlformats.org/officeDocument/2006/relationships/image" Target="../media/image19.png"/><Relationship Id="rId19" Type="http://schemas.openxmlformats.org/officeDocument/2006/relationships/image" Target="../media/image47.jpeg"/><Relationship Id="rId4" Type="http://schemas.openxmlformats.org/officeDocument/2006/relationships/image" Target="../media/image43.png"/><Relationship Id="rId9" Type="http://schemas.openxmlformats.org/officeDocument/2006/relationships/hyperlink" Target="#'4. E2 LIIKEVAIHTO'!A1"/><Relationship Id="rId1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54.png"/><Relationship Id="rId18" Type="http://schemas.openxmlformats.org/officeDocument/2006/relationships/image" Target="../media/image56.png"/><Relationship Id="rId26" Type="http://schemas.openxmlformats.org/officeDocument/2006/relationships/image" Target="../media/image59.png"/><Relationship Id="rId3" Type="http://schemas.openxmlformats.org/officeDocument/2006/relationships/image" Target="../media/image50.jpeg"/><Relationship Id="rId21" Type="http://schemas.openxmlformats.org/officeDocument/2006/relationships/hyperlink" Target="#'1. T1 INVESTOINTISUUN.'!A1"/><Relationship Id="rId7" Type="http://schemas.openxmlformats.org/officeDocument/2006/relationships/image" Target="../media/image52.png"/><Relationship Id="rId12" Type="http://schemas.openxmlformats.org/officeDocument/2006/relationships/hyperlink" Target="#'T1 INVESTOINTISUUN.'!A1"/><Relationship Id="rId17" Type="http://schemas.openxmlformats.org/officeDocument/2006/relationships/image" Target="../media/image55.png"/><Relationship Id="rId25" Type="http://schemas.openxmlformats.org/officeDocument/2006/relationships/image" Target="../media/image58.png"/><Relationship Id="rId2" Type="http://schemas.openxmlformats.org/officeDocument/2006/relationships/image" Target="../media/image49.png"/><Relationship Id="rId16" Type="http://schemas.openxmlformats.org/officeDocument/2006/relationships/image" Target="../media/image11.svg"/><Relationship Id="rId20" Type="http://schemas.openxmlformats.org/officeDocument/2006/relationships/image" Target="../media/image33.png"/><Relationship Id="rId1" Type="http://schemas.openxmlformats.org/officeDocument/2006/relationships/hyperlink" Target="#'2. T7 LAINAT'!A1"/><Relationship Id="rId6" Type="http://schemas.openxmlformats.org/officeDocument/2006/relationships/hyperlink" Target="#'8. T5 KASSABUDJETTI'!A1"/><Relationship Id="rId11" Type="http://schemas.openxmlformats.org/officeDocument/2006/relationships/image" Target="../media/image53.png"/><Relationship Id="rId24" Type="http://schemas.openxmlformats.org/officeDocument/2006/relationships/image" Target="../media/image57.png"/><Relationship Id="rId5" Type="http://schemas.openxmlformats.org/officeDocument/2006/relationships/image" Target="../media/image51.png"/><Relationship Id="rId15" Type="http://schemas.openxmlformats.org/officeDocument/2006/relationships/image" Target="../media/image10.png"/><Relationship Id="rId23" Type="http://schemas.openxmlformats.org/officeDocument/2006/relationships/image" Target="../media/image5.png"/><Relationship Id="rId10" Type="http://schemas.openxmlformats.org/officeDocument/2006/relationships/hyperlink" Target="#'4. E2 LIIKEVAIHTO'!A1"/><Relationship Id="rId19" Type="http://schemas.openxmlformats.org/officeDocument/2006/relationships/image" Target="../media/image31.png"/><Relationship Id="rId4" Type="http://schemas.openxmlformats.org/officeDocument/2006/relationships/hyperlink" Target="#'3. E1 KUSTANNUKSET'!A1"/><Relationship Id="rId9" Type="http://schemas.openxmlformats.org/officeDocument/2006/relationships/image" Target="../media/image18.png"/><Relationship Id="rId14" Type="http://schemas.openxmlformats.org/officeDocument/2006/relationships/hyperlink" Target="#Tulostussivu!A1"/><Relationship Id="rId22" Type="http://schemas.openxmlformats.org/officeDocument/2006/relationships/hyperlink" Target="#'5. T4 RAHOITUSSUUN.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5. T4 RAHOITUSSUUN.'!A1"/><Relationship Id="rId13" Type="http://schemas.openxmlformats.org/officeDocument/2006/relationships/image" Target="../media/image20.png"/><Relationship Id="rId18" Type="http://schemas.openxmlformats.org/officeDocument/2006/relationships/image" Target="../media/image10.png"/><Relationship Id="rId3" Type="http://schemas.openxmlformats.org/officeDocument/2006/relationships/image" Target="../media/image9.png"/><Relationship Id="rId7" Type="http://schemas.openxmlformats.org/officeDocument/2006/relationships/image" Target="../media/image31.png"/><Relationship Id="rId12" Type="http://schemas.openxmlformats.org/officeDocument/2006/relationships/hyperlink" Target="#'6. T3 TASE'!A1"/><Relationship Id="rId17" Type="http://schemas.openxmlformats.org/officeDocument/2006/relationships/hyperlink" Target="#Tulostussivu!A1"/><Relationship Id="rId2" Type="http://schemas.openxmlformats.org/officeDocument/2006/relationships/hyperlink" Target="#'2. T7 LAINAT'!A1"/><Relationship Id="rId16" Type="http://schemas.openxmlformats.org/officeDocument/2006/relationships/image" Target="../media/image62.png"/><Relationship Id="rId20" Type="http://schemas.openxmlformats.org/officeDocument/2006/relationships/image" Target="../media/image63.jpeg"/><Relationship Id="rId1" Type="http://schemas.openxmlformats.org/officeDocument/2006/relationships/image" Target="../media/image60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33.png"/><Relationship Id="rId5" Type="http://schemas.openxmlformats.org/officeDocument/2006/relationships/image" Target="../media/image56.png"/><Relationship Id="rId15" Type="http://schemas.openxmlformats.org/officeDocument/2006/relationships/hyperlink" Target="#'1. T1 INVESTOINTISUUN.'!A1"/><Relationship Id="rId10" Type="http://schemas.openxmlformats.org/officeDocument/2006/relationships/hyperlink" Target="#'4. E2 LIIKEVAIHTO'!A1"/><Relationship Id="rId19" Type="http://schemas.openxmlformats.org/officeDocument/2006/relationships/image" Target="../media/image11.svg"/><Relationship Id="rId4" Type="http://schemas.openxmlformats.org/officeDocument/2006/relationships/hyperlink" Target="#'3. E1 KUSTANNUKSET'!A1"/><Relationship Id="rId9" Type="http://schemas.openxmlformats.org/officeDocument/2006/relationships/image" Target="../media/image32.png"/><Relationship Id="rId14" Type="http://schemas.openxmlformats.org/officeDocument/2006/relationships/image" Target="../media/image6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png"/><Relationship Id="rId13" Type="http://schemas.openxmlformats.org/officeDocument/2006/relationships/hyperlink" Target="#'4. E2 LIIKEVAIHTO'!A1"/><Relationship Id="rId18" Type="http://schemas.openxmlformats.org/officeDocument/2006/relationships/image" Target="../media/image66.png"/><Relationship Id="rId3" Type="http://schemas.openxmlformats.org/officeDocument/2006/relationships/image" Target="../media/image10.png"/><Relationship Id="rId21" Type="http://schemas.openxmlformats.org/officeDocument/2006/relationships/image" Target="../media/image69.jpeg"/><Relationship Id="rId7" Type="http://schemas.openxmlformats.org/officeDocument/2006/relationships/hyperlink" Target="#'3. E1 KUSTANNUKSET'!A1"/><Relationship Id="rId12" Type="http://schemas.openxmlformats.org/officeDocument/2006/relationships/image" Target="../media/image38.png"/><Relationship Id="rId17" Type="http://schemas.openxmlformats.org/officeDocument/2006/relationships/hyperlink" Target="#'1. T1 INVESTOINTISUUN.'!A1"/><Relationship Id="rId2" Type="http://schemas.openxmlformats.org/officeDocument/2006/relationships/hyperlink" Target="#Tulostussivu!A1"/><Relationship Id="rId16" Type="http://schemas.openxmlformats.org/officeDocument/2006/relationships/image" Target="../media/image20.png"/><Relationship Id="rId20" Type="http://schemas.openxmlformats.org/officeDocument/2006/relationships/image" Target="../media/image68.jpeg"/><Relationship Id="rId1" Type="http://schemas.openxmlformats.org/officeDocument/2006/relationships/chart" Target="../charts/chart1.xml"/><Relationship Id="rId6" Type="http://schemas.openxmlformats.org/officeDocument/2006/relationships/image" Target="../media/image42.png"/><Relationship Id="rId11" Type="http://schemas.openxmlformats.org/officeDocument/2006/relationships/hyperlink" Target="#'5. T4 RAHOITUSSUUN.'!A1"/><Relationship Id="rId5" Type="http://schemas.openxmlformats.org/officeDocument/2006/relationships/hyperlink" Target="#'2. T7 LAINAT'!A1"/><Relationship Id="rId15" Type="http://schemas.openxmlformats.org/officeDocument/2006/relationships/hyperlink" Target="#'6. T3 TASE'!A1"/><Relationship Id="rId10" Type="http://schemas.openxmlformats.org/officeDocument/2006/relationships/image" Target="../media/image18.png"/><Relationship Id="rId19" Type="http://schemas.openxmlformats.org/officeDocument/2006/relationships/image" Target="../media/image67.png"/><Relationship Id="rId4" Type="http://schemas.openxmlformats.org/officeDocument/2006/relationships/image" Target="../media/image11.svg"/><Relationship Id="rId9" Type="http://schemas.openxmlformats.org/officeDocument/2006/relationships/hyperlink" Target="#'7. T2 TULOSSUUN.'!A1"/><Relationship Id="rId14" Type="http://schemas.openxmlformats.org/officeDocument/2006/relationships/image" Target="../media/image6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166005</xdr:rowOff>
    </xdr:from>
    <xdr:to>
      <xdr:col>6</xdr:col>
      <xdr:colOff>2417581</xdr:colOff>
      <xdr:row>30</xdr:row>
      <xdr:rowOff>91012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E62FF7DE-5A1B-44A5-94A9-A13F69C2C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99062"/>
          <a:ext cx="9300074" cy="3158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84772</xdr:colOff>
      <xdr:row>5</xdr:row>
      <xdr:rowOff>24765</xdr:rowOff>
    </xdr:to>
    <xdr:pic>
      <xdr:nvPicPr>
        <xdr:cNvPr id="25" name="Kuva 24">
          <a:extLst>
            <a:ext uri="{FF2B5EF4-FFF2-40B4-BE49-F238E27FC236}">
              <a16:creationId xmlns:a16="http://schemas.microsoft.com/office/drawing/2014/main" id="{D6903AA1-EA78-412D-A809-E9D4CF7B2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77375" cy="609600"/>
        </a:xfrm>
        <a:prstGeom prst="rect">
          <a:avLst/>
        </a:prstGeom>
        <a:effectLst/>
      </xdr:spPr>
    </xdr:pic>
    <xdr:clientData/>
  </xdr:twoCellAnchor>
  <xdr:twoCellAnchor editAs="oneCell">
    <xdr:from>
      <xdr:col>1</xdr:col>
      <xdr:colOff>162354</xdr:colOff>
      <xdr:row>5</xdr:row>
      <xdr:rowOff>231374</xdr:rowOff>
    </xdr:from>
    <xdr:to>
      <xdr:col>2</xdr:col>
      <xdr:colOff>22288</xdr:colOff>
      <xdr:row>7</xdr:row>
      <xdr:rowOff>115564</xdr:rowOff>
    </xdr:to>
    <xdr:pic>
      <xdr:nvPicPr>
        <xdr:cNvPr id="10" name="Kuva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E59754-C351-4DCD-B20C-FB0C59991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579" y="812399"/>
          <a:ext cx="431434" cy="39854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185805</xdr:colOff>
      <xdr:row>9</xdr:row>
      <xdr:rowOff>264634</xdr:rowOff>
    </xdr:from>
    <xdr:to>
      <xdr:col>2</xdr:col>
      <xdr:colOff>21008</xdr:colOff>
      <xdr:row>11</xdr:row>
      <xdr:rowOff>116205</xdr:rowOff>
    </xdr:to>
    <xdr:pic>
      <xdr:nvPicPr>
        <xdr:cNvPr id="14" name="Kuva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1E2632-FD4F-4ADE-B6F9-4F9D64AC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030" y="1902934"/>
          <a:ext cx="406703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184671</xdr:colOff>
      <xdr:row>14</xdr:row>
      <xdr:rowOff>51803</xdr:rowOff>
    </xdr:from>
    <xdr:to>
      <xdr:col>2</xdr:col>
      <xdr:colOff>19873</xdr:colOff>
      <xdr:row>15</xdr:row>
      <xdr:rowOff>284608</xdr:rowOff>
    </xdr:to>
    <xdr:pic>
      <xdr:nvPicPr>
        <xdr:cNvPr id="16" name="Kuva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DBF8A1F-27F1-4C10-9443-787F07C9E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896" y="3156953"/>
          <a:ext cx="406702" cy="39473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184149</xdr:colOff>
      <xdr:row>17</xdr:row>
      <xdr:rowOff>101231</xdr:rowOff>
    </xdr:from>
    <xdr:to>
      <xdr:col>2</xdr:col>
      <xdr:colOff>19351</xdr:colOff>
      <xdr:row>18</xdr:row>
      <xdr:rowOff>131069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77C068D-579E-4EFB-BEF7-FF8F6347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4" y="3911231"/>
          <a:ext cx="406702" cy="40512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176117</xdr:colOff>
      <xdr:row>19</xdr:row>
      <xdr:rowOff>281727</xdr:rowOff>
    </xdr:from>
    <xdr:to>
      <xdr:col>2</xdr:col>
      <xdr:colOff>16399</xdr:colOff>
      <xdr:row>21</xdr:row>
      <xdr:rowOff>125453</xdr:rowOff>
    </xdr:to>
    <xdr:pic>
      <xdr:nvPicPr>
        <xdr:cNvPr id="45" name="Kuva 4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B819CB9-5861-4440-BD42-C9370655E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42" y="4634652"/>
          <a:ext cx="411782" cy="38284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181693</xdr:colOff>
      <xdr:row>11</xdr:row>
      <xdr:rowOff>267566</xdr:rowOff>
    </xdr:from>
    <xdr:to>
      <xdr:col>2</xdr:col>
      <xdr:colOff>16895</xdr:colOff>
      <xdr:row>13</xdr:row>
      <xdr:rowOff>122947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C12E3AF-1DD7-4B11-A067-929D09284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18" y="2448791"/>
          <a:ext cx="406702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176488</xdr:colOff>
      <xdr:row>7</xdr:row>
      <xdr:rowOff>249121</xdr:rowOff>
    </xdr:from>
    <xdr:to>
      <xdr:col>2</xdr:col>
      <xdr:colOff>15500</xdr:colOff>
      <xdr:row>9</xdr:row>
      <xdr:rowOff>115932</xdr:rowOff>
    </xdr:to>
    <xdr:pic>
      <xdr:nvPicPr>
        <xdr:cNvPr id="63" name="Kuva 6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EDF2BE8-CA04-474B-8016-1B4A4040F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13" y="1344496"/>
          <a:ext cx="410512" cy="409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208710</xdr:colOff>
      <xdr:row>25</xdr:row>
      <xdr:rowOff>72086</xdr:rowOff>
    </xdr:from>
    <xdr:to>
      <xdr:col>2</xdr:col>
      <xdr:colOff>2970</xdr:colOff>
      <xdr:row>27</xdr:row>
      <xdr:rowOff>106377</xdr:rowOff>
    </xdr:to>
    <xdr:pic>
      <xdr:nvPicPr>
        <xdr:cNvPr id="6" name="Kuva 5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B042DC7C-637A-4E4E-A272-A6ED6EDD5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484935" y="5806136"/>
          <a:ext cx="346710" cy="361951"/>
        </a:xfrm>
        <a:prstGeom prst="rect">
          <a:avLst/>
        </a:prstGeom>
      </xdr:spPr>
    </xdr:pic>
    <xdr:clientData/>
  </xdr:twoCellAnchor>
  <xdr:twoCellAnchor>
    <xdr:from>
      <xdr:col>2</xdr:col>
      <xdr:colOff>66674</xdr:colOff>
      <xdr:row>5</xdr:row>
      <xdr:rowOff>176213</xdr:rowOff>
    </xdr:from>
    <xdr:to>
      <xdr:col>4</xdr:col>
      <xdr:colOff>921524</xdr:colOff>
      <xdr:row>7</xdr:row>
      <xdr:rowOff>129863</xdr:rowOff>
    </xdr:to>
    <xdr:sp macro="" textlink="">
      <xdr:nvSpPr>
        <xdr:cNvPr id="3" name="Suorakulmio: Pyöristetyt kulmat 2">
          <a:extLst>
            <a:ext uri="{FF2B5EF4-FFF2-40B4-BE49-F238E27FC236}">
              <a16:creationId xmlns:a16="http://schemas.microsoft.com/office/drawing/2014/main" id="{01BD8536-CFD9-4E26-87A7-3448D7F19778}"/>
            </a:ext>
          </a:extLst>
        </xdr:cNvPr>
        <xdr:cNvSpPr/>
      </xdr:nvSpPr>
      <xdr:spPr>
        <a:xfrm>
          <a:off x="914399" y="757238"/>
          <a:ext cx="3955238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</a:t>
          </a:r>
          <a:r>
            <a:rPr lang="fi-FI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INVESTOINTISUUNNITELMA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rahan käytön ja rahoituksen selvittäminen. 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71287</xdr:colOff>
      <xdr:row>7</xdr:row>
      <xdr:rowOff>203875</xdr:rowOff>
    </xdr:from>
    <xdr:to>
      <xdr:col>4</xdr:col>
      <xdr:colOff>921374</xdr:colOff>
      <xdr:row>9</xdr:row>
      <xdr:rowOff>128950</xdr:rowOff>
    </xdr:to>
    <xdr:sp macro="" textlink="">
      <xdr:nvSpPr>
        <xdr:cNvPr id="26" name="Suorakulmio: Pyöristetyt kulmat 25">
          <a:extLst>
            <a:ext uri="{FF2B5EF4-FFF2-40B4-BE49-F238E27FC236}">
              <a16:creationId xmlns:a16="http://schemas.microsoft.com/office/drawing/2014/main" id="{B0E72D77-D801-45BE-B174-36FADC420F01}"/>
            </a:ext>
          </a:extLst>
        </xdr:cNvPr>
        <xdr:cNvSpPr/>
      </xdr:nvSpPr>
      <xdr:spPr>
        <a:xfrm>
          <a:off x="919012" y="1299250"/>
          <a:ext cx="3950475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nostettavat lainat ja osamaksut nostovuosittain.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63664</xdr:colOff>
      <xdr:row>9</xdr:row>
      <xdr:rowOff>223697</xdr:rowOff>
    </xdr:from>
    <xdr:to>
      <xdr:col>4</xdr:col>
      <xdr:colOff>918514</xdr:colOff>
      <xdr:row>11</xdr:row>
      <xdr:rowOff>148772</xdr:rowOff>
    </xdr:to>
    <xdr:sp macro="" textlink="">
      <xdr:nvSpPr>
        <xdr:cNvPr id="27" name="Suorakulmio: Pyöristetyt kulmat 26">
          <a:extLst>
            <a:ext uri="{FF2B5EF4-FFF2-40B4-BE49-F238E27FC236}">
              <a16:creationId xmlns:a16="http://schemas.microsoft.com/office/drawing/2014/main" id="{DBF4EC3A-86B8-496D-8E26-8B6A97361E20}"/>
            </a:ext>
          </a:extLst>
        </xdr:cNvPr>
        <xdr:cNvSpPr/>
      </xdr:nvSpPr>
      <xdr:spPr>
        <a:xfrm>
          <a:off x="911389" y="1861997"/>
          <a:ext cx="3955238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toimintakustannukset.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70878</xdr:colOff>
      <xdr:row>11</xdr:row>
      <xdr:rowOff>221755</xdr:rowOff>
    </xdr:from>
    <xdr:to>
      <xdr:col>4</xdr:col>
      <xdr:colOff>920965</xdr:colOff>
      <xdr:row>13</xdr:row>
      <xdr:rowOff>146830</xdr:rowOff>
    </xdr:to>
    <xdr:sp macro="" textlink="">
      <xdr:nvSpPr>
        <xdr:cNvPr id="28" name="Suorakulmio: Pyöristetyt kulmat 27">
          <a:extLst>
            <a:ext uri="{FF2B5EF4-FFF2-40B4-BE49-F238E27FC236}">
              <a16:creationId xmlns:a16="http://schemas.microsoft.com/office/drawing/2014/main" id="{BC7AFCBF-0058-492D-AF36-F0BE67D9E6E5}"/>
            </a:ext>
          </a:extLst>
        </xdr:cNvPr>
        <xdr:cNvSpPr/>
      </xdr:nvSpPr>
      <xdr:spPr>
        <a:xfrm>
          <a:off x="918603" y="2402980"/>
          <a:ext cx="3950475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tuotekohtainen myyntisuunnitelma.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74319</xdr:colOff>
      <xdr:row>13</xdr:row>
      <xdr:rowOff>240859</xdr:rowOff>
    </xdr:from>
    <xdr:to>
      <xdr:col>4</xdr:col>
      <xdr:colOff>919644</xdr:colOff>
      <xdr:row>16</xdr:row>
      <xdr:rowOff>73085</xdr:rowOff>
    </xdr:to>
    <xdr:sp macro="" textlink="">
      <xdr:nvSpPr>
        <xdr:cNvPr id="35" name="Suorakulmio: Pyöristetyt kulmat 34">
          <a:extLst>
            <a:ext uri="{FF2B5EF4-FFF2-40B4-BE49-F238E27FC236}">
              <a16:creationId xmlns:a16="http://schemas.microsoft.com/office/drawing/2014/main" id="{239947AD-21FB-40DA-8E81-A361AACC1F88}"/>
            </a:ext>
          </a:extLst>
        </xdr:cNvPr>
        <xdr:cNvSpPr/>
      </xdr:nvSpPr>
      <xdr:spPr>
        <a:xfrm>
          <a:off x="922044" y="2965009"/>
          <a:ext cx="3945713" cy="756151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Asetetaan vaihto-omaisuuden,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ostovelkojen ja myyntisaatavien kiertonopeudet oikeiksi. S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uunnittele osingonjako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/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yksityisotot. Tarkista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vielä OHJEen kohdat.</a:t>
          </a: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66693</xdr:colOff>
      <xdr:row>19</xdr:row>
      <xdr:rowOff>165705</xdr:rowOff>
    </xdr:from>
    <xdr:to>
      <xdr:col>4</xdr:col>
      <xdr:colOff>921543</xdr:colOff>
      <xdr:row>21</xdr:row>
      <xdr:rowOff>234780</xdr:rowOff>
    </xdr:to>
    <xdr:sp macro="" textlink="">
      <xdr:nvSpPr>
        <xdr:cNvPr id="36" name="Suorakulmio: Pyöristetyt kulmat 35">
          <a:extLst>
            <a:ext uri="{FF2B5EF4-FFF2-40B4-BE49-F238E27FC236}">
              <a16:creationId xmlns:a16="http://schemas.microsoft.com/office/drawing/2014/main" id="{ECEA007D-AE4C-411E-93D8-4D7FEF5F27E7}"/>
            </a:ext>
          </a:extLst>
        </xdr:cNvPr>
        <xdr:cNvSpPr/>
      </xdr:nvSpPr>
      <xdr:spPr>
        <a:xfrm>
          <a:off x="914418" y="4518630"/>
          <a:ext cx="3955238" cy="612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tulossuunnitelmaan liiketoiminnan muut tuotot ja satunnaiset erät.</a:t>
          </a:r>
        </a:p>
      </xdr:txBody>
    </xdr:sp>
    <xdr:clientData/>
  </xdr:twoCellAnchor>
  <xdr:twoCellAnchor>
    <xdr:from>
      <xdr:col>2</xdr:col>
      <xdr:colOff>66639</xdr:colOff>
      <xdr:row>21</xdr:row>
      <xdr:rowOff>316333</xdr:rowOff>
    </xdr:from>
    <xdr:to>
      <xdr:col>4</xdr:col>
      <xdr:colOff>921489</xdr:colOff>
      <xdr:row>24</xdr:row>
      <xdr:rowOff>110780</xdr:rowOff>
    </xdr:to>
    <xdr:sp macro="" textlink="">
      <xdr:nvSpPr>
        <xdr:cNvPr id="38" name="Suorakulmio: Pyöristetyt kulmat 37">
          <a:extLst>
            <a:ext uri="{FF2B5EF4-FFF2-40B4-BE49-F238E27FC236}">
              <a16:creationId xmlns:a16="http://schemas.microsoft.com/office/drawing/2014/main" id="{711EF7E8-2A2F-4499-8340-DA02896AB1BD}"/>
            </a:ext>
          </a:extLst>
        </xdr:cNvPr>
        <xdr:cNvSpPr/>
      </xdr:nvSpPr>
      <xdr:spPr>
        <a:xfrm>
          <a:off x="914364" y="5212183"/>
          <a:ext cx="3955238" cy="470722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Tulojen ja menojen ennuste 1. tai 2. ennustekaudelle. </a:t>
          </a:r>
        </a:p>
      </xdr:txBody>
    </xdr:sp>
    <xdr:clientData/>
  </xdr:twoCellAnchor>
  <xdr:twoCellAnchor>
    <xdr:from>
      <xdr:col>2</xdr:col>
      <xdr:colOff>75343</xdr:colOff>
      <xdr:row>25</xdr:row>
      <xdr:rowOff>34284</xdr:rowOff>
    </xdr:from>
    <xdr:to>
      <xdr:col>4</xdr:col>
      <xdr:colOff>920668</xdr:colOff>
      <xdr:row>28</xdr:row>
      <xdr:rowOff>16509</xdr:rowOff>
    </xdr:to>
    <xdr:sp macro="" textlink="">
      <xdr:nvSpPr>
        <xdr:cNvPr id="39" name="Suorakulmio: Pyöristetyt kulmat 38">
          <a:extLst>
            <a:ext uri="{FF2B5EF4-FFF2-40B4-BE49-F238E27FC236}">
              <a16:creationId xmlns:a16="http://schemas.microsoft.com/office/drawing/2014/main" id="{DF71DAFF-E431-481A-8214-151BEB6C7764}"/>
            </a:ext>
          </a:extLst>
        </xdr:cNvPr>
        <xdr:cNvSpPr/>
      </xdr:nvSpPr>
      <xdr:spPr>
        <a:xfrm>
          <a:off x="923068" y="5768334"/>
          <a:ext cx="3945713" cy="468000"/>
        </a:xfrm>
        <a:prstGeom prst="roundRect">
          <a:avLst/>
        </a:prstGeom>
        <a:solidFill>
          <a:schemeClr val="bg1">
            <a:lumMod val="95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laskennasta. Tulosta tai tallenna pdf-muodossa.</a:t>
          </a:r>
        </a:p>
      </xdr:txBody>
    </xdr:sp>
    <xdr:clientData/>
  </xdr:twoCellAnchor>
  <xdr:twoCellAnchor>
    <xdr:from>
      <xdr:col>3</xdr:col>
      <xdr:colOff>141922</xdr:colOff>
      <xdr:row>1</xdr:row>
      <xdr:rowOff>12383</xdr:rowOff>
    </xdr:from>
    <xdr:to>
      <xdr:col>6</xdr:col>
      <xdr:colOff>974407</xdr:colOff>
      <xdr:row>4</xdr:row>
      <xdr:rowOff>193358</xdr:rowOff>
    </xdr:to>
    <xdr:sp macro="" textlink="">
      <xdr:nvSpPr>
        <xdr:cNvPr id="13" name="Tekstiruutu 12">
          <a:extLst>
            <a:ext uri="{FF2B5EF4-FFF2-40B4-BE49-F238E27FC236}">
              <a16:creationId xmlns:a16="http://schemas.microsoft.com/office/drawing/2014/main" id="{A0B61EDB-C99F-4313-8AE6-77A37BE8857B}"/>
            </a:ext>
          </a:extLst>
        </xdr:cNvPr>
        <xdr:cNvSpPr txBox="1"/>
      </xdr:nvSpPr>
      <xdr:spPr>
        <a:xfrm>
          <a:off x="1170622" y="107633"/>
          <a:ext cx="6942773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i-FI" sz="1600" b="0" i="0">
              <a:solidFill>
                <a:schemeClr val="bg1"/>
              </a:solidFill>
              <a:latin typeface="Arial Black" panose="020B0A04020102020204" pitchFamily="34" charset="0"/>
            </a:rPr>
            <a:t>YT6 ALOITTAVAN YRITYKSEN TULOSSUUNNITELMA</a:t>
          </a:r>
        </a:p>
      </xdr:txBody>
    </xdr:sp>
    <xdr:clientData/>
  </xdr:twoCellAnchor>
  <xdr:twoCellAnchor>
    <xdr:from>
      <xdr:col>2</xdr:col>
      <xdr:colOff>71604</xdr:colOff>
      <xdr:row>16</xdr:row>
      <xdr:rowOff>155282</xdr:rowOff>
    </xdr:from>
    <xdr:to>
      <xdr:col>4</xdr:col>
      <xdr:colOff>916929</xdr:colOff>
      <xdr:row>19</xdr:row>
      <xdr:rowOff>62432</xdr:rowOff>
    </xdr:to>
    <xdr:sp macro="" textlink="">
      <xdr:nvSpPr>
        <xdr:cNvPr id="24" name="Suorakulmio: Pyöristetyt kulmat 23">
          <a:extLst>
            <a:ext uri="{FF2B5EF4-FFF2-40B4-BE49-F238E27FC236}">
              <a16:creationId xmlns:a16="http://schemas.microsoft.com/office/drawing/2014/main" id="{D676BCAA-BF8F-4D59-9960-F2F3CEDF23A9}"/>
            </a:ext>
          </a:extLst>
        </xdr:cNvPr>
        <xdr:cNvSpPr/>
      </xdr:nvSpPr>
      <xdr:spPr>
        <a:xfrm>
          <a:off x="919329" y="3803357"/>
          <a:ext cx="3945713" cy="612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Tarkista OHJEen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mukaiset kohdat ja,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että taseen VASTAAVAA ja VASTATTAVAA-loppusummat täsmäävät.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185429</xdr:colOff>
      <xdr:row>21</xdr:row>
      <xdr:rowOff>341001</xdr:rowOff>
    </xdr:from>
    <xdr:to>
      <xdr:col>2</xdr:col>
      <xdr:colOff>20632</xdr:colOff>
      <xdr:row>24</xdr:row>
      <xdr:rowOff>58984</xdr:rowOff>
    </xdr:to>
    <xdr:pic>
      <xdr:nvPicPr>
        <xdr:cNvPr id="4" name="Kuva 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9A746FE-40BE-4751-8512-5921D023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654" y="5236851"/>
          <a:ext cx="406703" cy="394258"/>
        </a:xfrm>
        <a:prstGeom prst="rect">
          <a:avLst/>
        </a:prstGeom>
      </xdr:spPr>
    </xdr:pic>
    <xdr:clientData/>
  </xdr:twoCellAnchor>
  <xdr:twoCellAnchor>
    <xdr:from>
      <xdr:col>4</xdr:col>
      <xdr:colOff>1411747</xdr:colOff>
      <xdr:row>14</xdr:row>
      <xdr:rowOff>141515</xdr:rowOff>
    </xdr:from>
    <xdr:to>
      <xdr:col>6</xdr:col>
      <xdr:colOff>2237020</xdr:colOff>
      <xdr:row>24</xdr:row>
      <xdr:rowOff>76200</xdr:rowOff>
    </xdr:to>
    <xdr:sp macro="" textlink="">
      <xdr:nvSpPr>
        <xdr:cNvPr id="42" name="Tekstiruutu 41">
          <a:extLst>
            <a:ext uri="{FF2B5EF4-FFF2-40B4-BE49-F238E27FC236}">
              <a16:creationId xmlns:a16="http://schemas.microsoft.com/office/drawing/2014/main" id="{6612E85D-8A3B-4640-BF73-94B635DF9DED}"/>
            </a:ext>
          </a:extLst>
        </xdr:cNvPr>
        <xdr:cNvSpPr txBox="1"/>
      </xdr:nvSpPr>
      <xdr:spPr>
        <a:xfrm>
          <a:off x="5319718" y="3216729"/>
          <a:ext cx="3666445" cy="2378528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08000" rtlCol="0" anchor="t"/>
        <a:lstStyle/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OHJE</a:t>
          </a:r>
          <a:b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i-FI" sz="1050" b="1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Käyttötarkoitus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Aloittavan yrityksen talouden kokonaissuunnitteluun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Rahoitushakemuksen liitteiden laatimiseen rahoittajille</a:t>
          </a:r>
          <a:br>
            <a:rPr lang="fi-FI" sz="1050" b="1" i="1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050" b="1" i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Täyttöohje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Laskelma täytetään vasemmalla olevien numeroiden mukaisesti numerojärjestyksessä. Aloita kohdasta</a:t>
          </a:r>
          <a:b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1. T1 INVESTOINTISUUNNITELMA. 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Lisää ohjeita löydät Yritystulkista  </a:t>
          </a:r>
          <a:endParaRPr lang="fi-FI" sz="1050">
            <a:ln>
              <a:noFill/>
            </a:ln>
            <a:solidFill>
              <a:schemeClr val="tx1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4</xdr:col>
      <xdr:colOff>1649186</xdr:colOff>
      <xdr:row>6</xdr:row>
      <xdr:rowOff>87089</xdr:rowOff>
    </xdr:from>
    <xdr:to>
      <xdr:col>6</xdr:col>
      <xdr:colOff>2128157</xdr:colOff>
      <xdr:row>7</xdr:row>
      <xdr:rowOff>244931</xdr:rowOff>
    </xdr:to>
    <xdr:sp macro="" textlink="">
      <xdr:nvSpPr>
        <xdr:cNvPr id="54" name="Tekstiruutu 53">
          <a:extLst>
            <a:ext uri="{FF2B5EF4-FFF2-40B4-BE49-F238E27FC236}">
              <a16:creationId xmlns:a16="http://schemas.microsoft.com/office/drawing/2014/main" id="{6E75C5DA-3B5D-89A8-A162-F3F22CC01932}"/>
            </a:ext>
          </a:extLst>
        </xdr:cNvPr>
        <xdr:cNvSpPr txBox="1"/>
      </xdr:nvSpPr>
      <xdr:spPr>
        <a:xfrm>
          <a:off x="5557157" y="1006932"/>
          <a:ext cx="3320143" cy="3156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fi-FI" sz="900" b="1">
              <a:latin typeface="Arial" panose="020B0604020202020204" pitchFamily="34" charset="0"/>
              <a:cs typeface="Arial" panose="020B0604020202020204" pitchFamily="34" charset="0"/>
            </a:rPr>
            <a:t>Palvelun tarjoavat</a:t>
          </a:r>
        </a:p>
      </xdr:txBody>
    </xdr:sp>
    <xdr:clientData/>
  </xdr:twoCellAnchor>
  <xdr:twoCellAnchor editAs="oneCell">
    <xdr:from>
      <xdr:col>4</xdr:col>
      <xdr:colOff>1638301</xdr:colOff>
      <xdr:row>7</xdr:row>
      <xdr:rowOff>174172</xdr:rowOff>
    </xdr:from>
    <xdr:to>
      <xdr:col>6</xdr:col>
      <xdr:colOff>1638300</xdr:colOff>
      <xdr:row>11</xdr:row>
      <xdr:rowOff>284919</xdr:rowOff>
    </xdr:to>
    <xdr:pic>
      <xdr:nvPicPr>
        <xdr:cNvPr id="8" name="Kuva 7">
          <a:extLst>
            <a:ext uri="{FF2B5EF4-FFF2-40B4-BE49-F238E27FC236}">
              <a16:creationId xmlns:a16="http://schemas.microsoft.com/office/drawing/2014/main" id="{A660A916-7EEA-4DBD-575D-3A6C036DF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6272" y="1251858"/>
          <a:ext cx="2841171" cy="118843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</xdr:colOff>
      <xdr:row>257</xdr:row>
      <xdr:rowOff>17063</xdr:rowOff>
    </xdr:from>
    <xdr:to>
      <xdr:col>17</xdr:col>
      <xdr:colOff>175259</xdr:colOff>
      <xdr:row>277</xdr:row>
      <xdr:rowOff>114300</xdr:rowOff>
    </xdr:to>
    <xdr:graphicFrame macro="">
      <xdr:nvGraphicFramePr>
        <xdr:cNvPr id="10" name="Kaavio 9">
          <a:extLst>
            <a:ext uri="{FF2B5EF4-FFF2-40B4-BE49-F238E27FC236}">
              <a16:creationId xmlns:a16="http://schemas.microsoft.com/office/drawing/2014/main" id="{B42A2A97-49E8-4DAB-8869-3AD91EED4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68580</xdr:colOff>
      <xdr:row>278</xdr:row>
      <xdr:rowOff>15801</xdr:rowOff>
    </xdr:from>
    <xdr:to>
      <xdr:col>17</xdr:col>
      <xdr:colOff>190500</xdr:colOff>
      <xdr:row>297</xdr:row>
      <xdr:rowOff>132454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70607819-A0D0-412E-A0E3-A69B26578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83820</xdr:colOff>
      <xdr:row>298</xdr:row>
      <xdr:rowOff>35635</xdr:rowOff>
    </xdr:from>
    <xdr:to>
      <xdr:col>17</xdr:col>
      <xdr:colOff>190499</xdr:colOff>
      <xdr:row>318</xdr:row>
      <xdr:rowOff>93234</xdr:rowOff>
    </xdr:to>
    <xdr:graphicFrame macro="">
      <xdr:nvGraphicFramePr>
        <xdr:cNvPr id="12" name="Kaavio 11">
          <a:extLst>
            <a:ext uri="{FF2B5EF4-FFF2-40B4-BE49-F238E27FC236}">
              <a16:creationId xmlns:a16="http://schemas.microsoft.com/office/drawing/2014/main" id="{1B7AFD0A-97C0-42BD-BE19-8A395E832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169971</xdr:colOff>
      <xdr:row>143</xdr:row>
      <xdr:rowOff>35548</xdr:rowOff>
    </xdr:from>
    <xdr:to>
      <xdr:col>0</xdr:col>
      <xdr:colOff>591914</xdr:colOff>
      <xdr:row>145</xdr:row>
      <xdr:rowOff>129972</xdr:rowOff>
    </xdr:to>
    <xdr:pic>
      <xdr:nvPicPr>
        <xdr:cNvPr id="26" name="Kuva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C8953F7-9713-4EBA-8ED4-B02E104B5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71" y="21611034"/>
          <a:ext cx="421943" cy="399224"/>
        </a:xfrm>
        <a:prstGeom prst="rect">
          <a:avLst/>
        </a:prstGeom>
      </xdr:spPr>
    </xdr:pic>
    <xdr:clientData/>
  </xdr:twoCellAnchor>
  <xdr:twoCellAnchor editAs="oneCell">
    <xdr:from>
      <xdr:col>0</xdr:col>
      <xdr:colOff>168611</xdr:colOff>
      <xdr:row>145</xdr:row>
      <xdr:rowOff>149535</xdr:rowOff>
    </xdr:from>
    <xdr:to>
      <xdr:col>0</xdr:col>
      <xdr:colOff>590554</xdr:colOff>
      <xdr:row>148</xdr:row>
      <xdr:rowOff>75000</xdr:rowOff>
    </xdr:to>
    <xdr:pic>
      <xdr:nvPicPr>
        <xdr:cNvPr id="27" name="Kuva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4ABC3D-0BD7-4B68-A634-D44EDA90C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11" y="22029821"/>
          <a:ext cx="421943" cy="382665"/>
        </a:xfrm>
        <a:prstGeom prst="rect">
          <a:avLst/>
        </a:prstGeom>
      </xdr:spPr>
    </xdr:pic>
    <xdr:clientData/>
  </xdr:twoCellAnchor>
  <xdr:twoCellAnchor editAs="oneCell">
    <xdr:from>
      <xdr:col>0</xdr:col>
      <xdr:colOff>166019</xdr:colOff>
      <xdr:row>158</xdr:row>
      <xdr:rowOff>48571</xdr:rowOff>
    </xdr:from>
    <xdr:to>
      <xdr:col>0</xdr:col>
      <xdr:colOff>572721</xdr:colOff>
      <xdr:row>160</xdr:row>
      <xdr:rowOff>118036</xdr:rowOff>
    </xdr:to>
    <xdr:pic>
      <xdr:nvPicPr>
        <xdr:cNvPr id="28" name="Kuva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D1DEF6D-AA65-4561-940A-3FB049BC6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19" y="23910057"/>
          <a:ext cx="406702" cy="374265"/>
        </a:xfrm>
        <a:prstGeom prst="rect">
          <a:avLst/>
        </a:prstGeom>
      </xdr:spPr>
    </xdr:pic>
    <xdr:clientData/>
  </xdr:twoCellAnchor>
  <xdr:twoCellAnchor editAs="oneCell">
    <xdr:from>
      <xdr:col>0</xdr:col>
      <xdr:colOff>158499</xdr:colOff>
      <xdr:row>151</xdr:row>
      <xdr:rowOff>127902</xdr:rowOff>
    </xdr:from>
    <xdr:to>
      <xdr:col>0</xdr:col>
      <xdr:colOff>555677</xdr:colOff>
      <xdr:row>154</xdr:row>
      <xdr:rowOff>60511</xdr:rowOff>
    </xdr:to>
    <xdr:pic>
      <xdr:nvPicPr>
        <xdr:cNvPr id="29" name="Kuva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246B02-C4D6-4212-A0D9-99B5DD91B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99" y="22922588"/>
          <a:ext cx="397178" cy="389809"/>
        </a:xfrm>
        <a:prstGeom prst="rect">
          <a:avLst/>
        </a:prstGeom>
      </xdr:spPr>
    </xdr:pic>
    <xdr:clientData/>
  </xdr:twoCellAnchor>
  <xdr:twoCellAnchor editAs="oneCell">
    <xdr:from>
      <xdr:col>0</xdr:col>
      <xdr:colOff>167589</xdr:colOff>
      <xdr:row>148</xdr:row>
      <xdr:rowOff>128252</xdr:rowOff>
    </xdr:from>
    <xdr:to>
      <xdr:col>0</xdr:col>
      <xdr:colOff>574292</xdr:colOff>
      <xdr:row>151</xdr:row>
      <xdr:rowOff>55622</xdr:rowOff>
    </xdr:to>
    <xdr:pic>
      <xdr:nvPicPr>
        <xdr:cNvPr id="30" name="Kuva 2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3708891-7E74-471B-8511-BD1495D6A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589" y="22465738"/>
          <a:ext cx="406703" cy="384570"/>
        </a:xfrm>
        <a:prstGeom prst="rect">
          <a:avLst/>
        </a:prstGeom>
      </xdr:spPr>
    </xdr:pic>
    <xdr:clientData/>
  </xdr:twoCellAnchor>
  <xdr:twoCellAnchor editAs="oneCell">
    <xdr:from>
      <xdr:col>0</xdr:col>
      <xdr:colOff>166399</xdr:colOff>
      <xdr:row>154</xdr:row>
      <xdr:rowOff>91927</xdr:rowOff>
    </xdr:from>
    <xdr:to>
      <xdr:col>0</xdr:col>
      <xdr:colOff>573102</xdr:colOff>
      <xdr:row>157</xdr:row>
      <xdr:rowOff>22300</xdr:rowOff>
    </xdr:to>
    <xdr:pic>
      <xdr:nvPicPr>
        <xdr:cNvPr id="49" name="Kuva 4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E754DE2-618F-4FC2-88D6-C94543DDC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99" y="23343813"/>
          <a:ext cx="406703" cy="387573"/>
        </a:xfrm>
        <a:prstGeom prst="rect">
          <a:avLst/>
        </a:prstGeom>
      </xdr:spPr>
    </xdr:pic>
    <xdr:clientData/>
  </xdr:twoCellAnchor>
  <xdr:twoCellAnchor editAs="oneCell">
    <xdr:from>
      <xdr:col>0</xdr:col>
      <xdr:colOff>173374</xdr:colOff>
      <xdr:row>140</xdr:row>
      <xdr:rowOff>78490</xdr:rowOff>
    </xdr:from>
    <xdr:to>
      <xdr:col>0</xdr:col>
      <xdr:colOff>591169</xdr:colOff>
      <xdr:row>142</xdr:row>
      <xdr:rowOff>132026</xdr:rowOff>
    </xdr:to>
    <xdr:pic>
      <xdr:nvPicPr>
        <xdr:cNvPr id="50" name="Kuva 4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15B4D3F-4CF0-4A14-A60E-C8EE35331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74" y="21196776"/>
          <a:ext cx="417795" cy="358336"/>
        </a:xfrm>
        <a:prstGeom prst="rect">
          <a:avLst/>
        </a:prstGeom>
      </xdr:spPr>
    </xdr:pic>
    <xdr:clientData/>
  </xdr:twoCellAnchor>
  <xdr:twoCellAnchor editAs="oneCell">
    <xdr:from>
      <xdr:col>0</xdr:col>
      <xdr:colOff>150752</xdr:colOff>
      <xdr:row>160</xdr:row>
      <xdr:rowOff>151119</xdr:rowOff>
    </xdr:from>
    <xdr:to>
      <xdr:col>0</xdr:col>
      <xdr:colOff>568547</xdr:colOff>
      <xdr:row>163</xdr:row>
      <xdr:rowOff>96586</xdr:rowOff>
    </xdr:to>
    <xdr:pic>
      <xdr:nvPicPr>
        <xdr:cNvPr id="4" name="Kuva 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5C2F4E6-5963-4EEE-A202-87B4E374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52" y="24317405"/>
          <a:ext cx="417795" cy="402667"/>
        </a:xfrm>
        <a:prstGeom prst="rect">
          <a:avLst/>
        </a:prstGeom>
      </xdr:spPr>
    </xdr:pic>
    <xdr:clientData/>
  </xdr:twoCellAnchor>
  <xdr:twoCellAnchor editAs="oneCell">
    <xdr:from>
      <xdr:col>0</xdr:col>
      <xdr:colOff>143869</xdr:colOff>
      <xdr:row>163</xdr:row>
      <xdr:rowOff>133723</xdr:rowOff>
    </xdr:from>
    <xdr:to>
      <xdr:col>0</xdr:col>
      <xdr:colOff>594035</xdr:colOff>
      <xdr:row>167</xdr:row>
      <xdr:rowOff>19897</xdr:rowOff>
    </xdr:to>
    <xdr:pic>
      <xdr:nvPicPr>
        <xdr:cNvPr id="8" name="Kuva 7" descr="Tulostin">
          <a:extLst>
            <a:ext uri="{FF2B5EF4-FFF2-40B4-BE49-F238E27FC236}">
              <a16:creationId xmlns:a16="http://schemas.microsoft.com/office/drawing/2014/main" id="{A15F584A-722C-4269-ADF1-C66C1E3D9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3869" y="24757209"/>
          <a:ext cx="450166" cy="479445"/>
        </a:xfrm>
        <a:prstGeom prst="rect">
          <a:avLst/>
        </a:prstGeom>
      </xdr:spPr>
    </xdr:pic>
    <xdr:clientData/>
  </xdr:twoCellAnchor>
  <xdr:twoCellAnchor editAs="oneCell">
    <xdr:from>
      <xdr:col>15</xdr:col>
      <xdr:colOff>257325</xdr:colOff>
      <xdr:row>81</xdr:row>
      <xdr:rowOff>70338</xdr:rowOff>
    </xdr:from>
    <xdr:to>
      <xdr:col>17</xdr:col>
      <xdr:colOff>364250</xdr:colOff>
      <xdr:row>83</xdr:row>
      <xdr:rowOff>59059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9E5A2C20-A9EC-4501-A192-A1BAD021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325" y="12294995"/>
          <a:ext cx="934239" cy="304406"/>
        </a:xfrm>
        <a:prstGeom prst="rect">
          <a:avLst/>
        </a:prstGeom>
      </xdr:spPr>
    </xdr:pic>
    <xdr:clientData/>
  </xdr:twoCellAnchor>
  <xdr:twoCellAnchor editAs="oneCell">
    <xdr:from>
      <xdr:col>15</xdr:col>
      <xdr:colOff>277447</xdr:colOff>
      <xdr:row>251</xdr:row>
      <xdr:rowOff>64770</xdr:rowOff>
    </xdr:from>
    <xdr:to>
      <xdr:col>17</xdr:col>
      <xdr:colOff>361185</xdr:colOff>
      <xdr:row>253</xdr:row>
      <xdr:rowOff>76350</xdr:rowOff>
    </xdr:to>
    <xdr:pic>
      <xdr:nvPicPr>
        <xdr:cNvPr id="51" name="Kuva 50">
          <a:extLst>
            <a:ext uri="{FF2B5EF4-FFF2-40B4-BE49-F238E27FC236}">
              <a16:creationId xmlns:a16="http://schemas.microsoft.com/office/drawing/2014/main" id="{B24E9A9A-0280-4C9D-982B-ED7C545D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7447" y="37527956"/>
          <a:ext cx="911052" cy="332708"/>
        </a:xfrm>
        <a:prstGeom prst="rect">
          <a:avLst/>
        </a:prstGeom>
      </xdr:spPr>
    </xdr:pic>
    <xdr:clientData/>
  </xdr:twoCellAnchor>
  <xdr:twoCellAnchor editAs="oneCell">
    <xdr:from>
      <xdr:col>15</xdr:col>
      <xdr:colOff>284117</xdr:colOff>
      <xdr:row>1</xdr:row>
      <xdr:rowOff>14862</xdr:rowOff>
    </xdr:from>
    <xdr:to>
      <xdr:col>18</xdr:col>
      <xdr:colOff>3660</xdr:colOff>
      <xdr:row>3</xdr:row>
      <xdr:rowOff>11202</xdr:rowOff>
    </xdr:to>
    <xdr:pic>
      <xdr:nvPicPr>
        <xdr:cNvPr id="52" name="Kuva 51">
          <a:extLst>
            <a:ext uri="{FF2B5EF4-FFF2-40B4-BE49-F238E27FC236}">
              <a16:creationId xmlns:a16="http://schemas.microsoft.com/office/drawing/2014/main" id="{DAAE5EE0-11B6-421C-A94C-5784F7456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4117" y="172705"/>
          <a:ext cx="946907" cy="328354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164</xdr:row>
      <xdr:rowOff>91440</xdr:rowOff>
    </xdr:from>
    <xdr:to>
      <xdr:col>18</xdr:col>
      <xdr:colOff>1823</xdr:colOff>
      <xdr:row>167</xdr:row>
      <xdr:rowOff>150</xdr:rowOff>
    </xdr:to>
    <xdr:pic>
      <xdr:nvPicPr>
        <xdr:cNvPr id="17" name="Kuva 16">
          <a:extLst>
            <a:ext uri="{FF2B5EF4-FFF2-40B4-BE49-F238E27FC236}">
              <a16:creationId xmlns:a16="http://schemas.microsoft.com/office/drawing/2014/main" id="{CF982E4A-71B5-48CA-B7D3-5926C9B5C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24872769"/>
          <a:ext cx="937994" cy="344138"/>
        </a:xfrm>
        <a:prstGeom prst="rect">
          <a:avLst/>
        </a:prstGeom>
      </xdr:spPr>
    </xdr:pic>
    <xdr:clientData/>
  </xdr:twoCellAnchor>
  <xdr:oneCellAnchor>
    <xdr:from>
      <xdr:col>0</xdr:col>
      <xdr:colOff>184170</xdr:colOff>
      <xdr:row>20</xdr:row>
      <xdr:rowOff>59214</xdr:rowOff>
    </xdr:from>
    <xdr:ext cx="396000" cy="401129"/>
    <xdr:pic>
      <xdr:nvPicPr>
        <xdr:cNvPr id="18" name="Kuva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39E1DDE-1505-4E50-B446-96C1766408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70" y="3026754"/>
          <a:ext cx="396000" cy="401129"/>
        </a:xfrm>
        <a:prstGeom prst="rect">
          <a:avLst/>
        </a:prstGeom>
      </xdr:spPr>
    </xdr:pic>
    <xdr:clientData/>
  </xdr:oneCellAnchor>
  <xdr:oneCellAnchor>
    <xdr:from>
      <xdr:col>0</xdr:col>
      <xdr:colOff>192275</xdr:colOff>
      <xdr:row>23</xdr:row>
      <xdr:rowOff>2814</xdr:rowOff>
    </xdr:from>
    <xdr:ext cx="396000" cy="396000"/>
    <xdr:pic>
      <xdr:nvPicPr>
        <xdr:cNvPr id="19" name="Kuva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C660B7F-AB4C-48FF-96C3-455B9B62F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275" y="3424715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175485</xdr:colOff>
      <xdr:row>33</xdr:row>
      <xdr:rowOff>105365</xdr:rowOff>
    </xdr:from>
    <xdr:ext cx="396000" cy="396000"/>
    <xdr:pic>
      <xdr:nvPicPr>
        <xdr:cNvPr id="20" name="Kuva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3A32DEE-055A-4AB7-A223-37C5774E02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85" y="5041800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182164</xdr:colOff>
      <xdr:row>28</xdr:row>
      <xdr:rowOff>66373</xdr:rowOff>
    </xdr:from>
    <xdr:ext cx="396000" cy="396000"/>
    <xdr:pic>
      <xdr:nvPicPr>
        <xdr:cNvPr id="21" name="Kuva 2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9C3C514-BFAC-4111-95C9-CC25AF56CD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64" y="4245541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186521</xdr:colOff>
      <xdr:row>25</xdr:row>
      <xdr:rowOff>114053</xdr:rowOff>
    </xdr:from>
    <xdr:ext cx="396000" cy="396000"/>
    <xdr:pic>
      <xdr:nvPicPr>
        <xdr:cNvPr id="22" name="Kuva 2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C934381-7046-4D5A-BB76-013978BEDF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21" y="3838861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175865</xdr:colOff>
      <xdr:row>31</xdr:row>
      <xdr:rowOff>11467</xdr:rowOff>
    </xdr:from>
    <xdr:ext cx="396000" cy="396000"/>
    <xdr:pic>
      <xdr:nvPicPr>
        <xdr:cNvPr id="23" name="Kuva 2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9E13A4CC-D7C7-4B1E-B91F-D7DA119112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865" y="4644995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187573</xdr:colOff>
      <xdr:row>17</xdr:row>
      <xdr:rowOff>121086</xdr:rowOff>
    </xdr:from>
    <xdr:ext cx="396000" cy="396000"/>
    <xdr:pic>
      <xdr:nvPicPr>
        <xdr:cNvPr id="24" name="Kuva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F2EAD9B2-7FCF-4ED8-9CAF-A21C9C56F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73" y="2634266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169684</xdr:colOff>
      <xdr:row>36</xdr:row>
      <xdr:rowOff>63087</xdr:rowOff>
    </xdr:from>
    <xdr:ext cx="396000" cy="396000"/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5483E71-FABD-4BF8-82D5-3C225B15B7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684" y="5434950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150495</xdr:colOff>
      <xdr:row>39</xdr:row>
      <xdr:rowOff>14453</xdr:rowOff>
    </xdr:from>
    <xdr:ext cx="461596" cy="469270"/>
    <xdr:pic>
      <xdr:nvPicPr>
        <xdr:cNvPr id="31" name="Kuva 30" descr="Tulostin">
          <a:extLst>
            <a:ext uri="{FF2B5EF4-FFF2-40B4-BE49-F238E27FC236}">
              <a16:creationId xmlns:a16="http://schemas.microsoft.com/office/drawing/2014/main" id="{224FDD31-D432-47DC-A71F-07675C909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9"/>
            </a:ext>
          </a:extLst>
        </a:blip>
        <a:stretch>
          <a:fillRect/>
        </a:stretch>
      </xdr:blipFill>
      <xdr:spPr>
        <a:xfrm>
          <a:off x="150495" y="5865524"/>
          <a:ext cx="461596" cy="46927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5</xdr:row>
      <xdr:rowOff>152400</xdr:rowOff>
    </xdr:from>
    <xdr:to>
      <xdr:col>6</xdr:col>
      <xdr:colOff>333375</xdr:colOff>
      <xdr:row>22</xdr:row>
      <xdr:rowOff>142875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695C0891-A2F1-4335-B854-AA8EEEB91D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602932</xdr:colOff>
      <xdr:row>31</xdr:row>
      <xdr:rowOff>76200</xdr:rowOff>
    </xdr:from>
    <xdr:to>
      <xdr:col>6</xdr:col>
      <xdr:colOff>437197</xdr:colOff>
      <xdr:row>46</xdr:row>
      <xdr:rowOff>91440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ACA051F4-8E73-4AAC-8FA3-4EF8C164C9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52</xdr:row>
      <xdr:rowOff>95250</xdr:rowOff>
    </xdr:from>
    <xdr:to>
      <xdr:col>6</xdr:col>
      <xdr:colOff>457200</xdr:colOff>
      <xdr:row>69</xdr:row>
      <xdr:rowOff>85725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520CE664-D88B-4C85-A9A6-9E099C5147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151720</xdr:colOff>
      <xdr:row>37</xdr:row>
      <xdr:rowOff>21090</xdr:rowOff>
    </xdr:from>
    <xdr:to>
      <xdr:col>0</xdr:col>
      <xdr:colOff>555340</xdr:colOff>
      <xdr:row>39</xdr:row>
      <xdr:rowOff>93784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C1B2FD35-8B29-46EE-823B-C2093A897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20" y="5877604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143726</xdr:colOff>
      <xdr:row>39</xdr:row>
      <xdr:rowOff>113736</xdr:rowOff>
    </xdr:from>
    <xdr:to>
      <xdr:col>0</xdr:col>
      <xdr:colOff>550429</xdr:colOff>
      <xdr:row>42</xdr:row>
      <xdr:rowOff>132274</xdr:rowOff>
    </xdr:to>
    <xdr:pic>
      <xdr:nvPicPr>
        <xdr:cNvPr id="18" name="Kuva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C116EE-6156-49FA-8540-CA7C688B1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726" y="6285936"/>
          <a:ext cx="406703" cy="394639"/>
        </a:xfrm>
        <a:prstGeom prst="rect">
          <a:avLst/>
        </a:prstGeom>
      </xdr:spPr>
    </xdr:pic>
    <xdr:clientData/>
  </xdr:twoCellAnchor>
  <xdr:twoCellAnchor editAs="oneCell">
    <xdr:from>
      <xdr:col>0</xdr:col>
      <xdr:colOff>155121</xdr:colOff>
      <xdr:row>42</xdr:row>
      <xdr:rowOff>156768</xdr:rowOff>
    </xdr:from>
    <xdr:to>
      <xdr:col>0</xdr:col>
      <xdr:colOff>551121</xdr:colOff>
      <xdr:row>45</xdr:row>
      <xdr:rowOff>56923</xdr:rowOff>
    </xdr:to>
    <xdr:pic>
      <xdr:nvPicPr>
        <xdr:cNvPr id="25" name="Kuva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B6628F9-F1CA-4024-B96A-F67B202BE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21" y="6693639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145917</xdr:colOff>
      <xdr:row>55</xdr:row>
      <xdr:rowOff>117870</xdr:rowOff>
    </xdr:from>
    <xdr:to>
      <xdr:col>0</xdr:col>
      <xdr:colOff>553347</xdr:colOff>
      <xdr:row>58</xdr:row>
      <xdr:rowOff>40341</xdr:rowOff>
    </xdr:to>
    <xdr:pic>
      <xdr:nvPicPr>
        <xdr:cNvPr id="29" name="Kuva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B7618EB-1F58-4E31-B320-73740D0BF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17" y="8717584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147598</xdr:colOff>
      <xdr:row>53</xdr:row>
      <xdr:rowOff>26549</xdr:rowOff>
    </xdr:from>
    <xdr:to>
      <xdr:col>0</xdr:col>
      <xdr:colOff>549313</xdr:colOff>
      <xdr:row>55</xdr:row>
      <xdr:rowOff>97339</xdr:rowOff>
    </xdr:to>
    <xdr:pic>
      <xdr:nvPicPr>
        <xdr:cNvPr id="31" name="Kuva 3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B553F6A-EAAF-4E02-A086-CF072E1A6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8" y="8310578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152663</xdr:colOff>
      <xdr:row>48</xdr:row>
      <xdr:rowOff>11991</xdr:rowOff>
    </xdr:from>
    <xdr:to>
      <xdr:col>0</xdr:col>
      <xdr:colOff>548663</xdr:colOff>
      <xdr:row>50</xdr:row>
      <xdr:rowOff>92305</xdr:rowOff>
    </xdr:to>
    <xdr:pic>
      <xdr:nvPicPr>
        <xdr:cNvPr id="35" name="Kuva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279BB95-2936-49AB-AB06-F1F1507D6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63" y="750680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154101</xdr:colOff>
      <xdr:row>45</xdr:row>
      <xdr:rowOff>85649</xdr:rowOff>
    </xdr:from>
    <xdr:to>
      <xdr:col>0</xdr:col>
      <xdr:colOff>550101</xdr:colOff>
      <xdr:row>48</xdr:row>
      <xdr:rowOff>19551</xdr:rowOff>
    </xdr:to>
    <xdr:pic>
      <xdr:nvPicPr>
        <xdr:cNvPr id="37" name="Kuva 3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8972D7E-CDCF-4B3C-B25C-EE3291CB7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01" y="710693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144916</xdr:colOff>
      <xdr:row>50</xdr:row>
      <xdr:rowOff>100691</xdr:rowOff>
    </xdr:from>
    <xdr:to>
      <xdr:col>0</xdr:col>
      <xdr:colOff>550441</xdr:colOff>
      <xdr:row>53</xdr:row>
      <xdr:rowOff>15542</xdr:rowOff>
    </xdr:to>
    <xdr:pic>
      <xdr:nvPicPr>
        <xdr:cNvPr id="44" name="Kuva 4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AF51B9C-D258-464A-87E9-8C09D19E8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6" y="7911191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156482</xdr:colOff>
      <xdr:row>58</xdr:row>
      <xdr:rowOff>63954</xdr:rowOff>
    </xdr:from>
    <xdr:to>
      <xdr:col>0</xdr:col>
      <xdr:colOff>552482</xdr:colOff>
      <xdr:row>61</xdr:row>
      <xdr:rowOff>94738</xdr:rowOff>
    </xdr:to>
    <xdr:pic>
      <xdr:nvPicPr>
        <xdr:cNvPr id="13" name="Kuva 12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6EF3D129-3259-4C27-AFD8-5850172BC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56482" y="9137197"/>
          <a:ext cx="396000" cy="396000"/>
        </a:xfrm>
        <a:prstGeom prst="rect">
          <a:avLst/>
        </a:prstGeom>
      </xdr:spPr>
    </xdr:pic>
    <xdr:clientData/>
  </xdr:twoCellAnchor>
  <xdr:twoCellAnchor>
    <xdr:from>
      <xdr:col>10</xdr:col>
      <xdr:colOff>43102</xdr:colOff>
      <xdr:row>7</xdr:row>
      <xdr:rowOff>10934</xdr:rowOff>
    </xdr:from>
    <xdr:to>
      <xdr:col>18</xdr:col>
      <xdr:colOff>716895</xdr:colOff>
      <xdr:row>31</xdr:row>
      <xdr:rowOff>86615</xdr:rowOff>
    </xdr:to>
    <xdr:sp macro="" textlink="">
      <xdr:nvSpPr>
        <xdr:cNvPr id="14" name="AutoShape 189">
          <a:extLst>
            <a:ext uri="{FF2B5EF4-FFF2-40B4-BE49-F238E27FC236}">
              <a16:creationId xmlns:a16="http://schemas.microsoft.com/office/drawing/2014/main" id="{26A09450-F29B-4E4F-8FF7-C29E4C2F0D58}"/>
            </a:ext>
          </a:extLst>
        </xdr:cNvPr>
        <xdr:cNvSpPr>
          <a:spLocks noChangeArrowheads="1"/>
        </xdr:cNvSpPr>
      </xdr:nvSpPr>
      <xdr:spPr bwMode="auto">
        <a:xfrm>
          <a:off x="8555731" y="1137605"/>
          <a:ext cx="6726250" cy="3858467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solidFill>
            <a:srgbClr val="FFC000"/>
          </a:solidFill>
          <a:round/>
          <a:headEnd/>
          <a:tailEnd/>
        </a:ln>
      </xdr:spPr>
      <xdr:txBody>
        <a:bodyPr vertOverflow="clip" wrap="square" lIns="72000" tIns="36000" rIns="36000" bIns="36000" anchor="ctr" anchorCtr="0" upright="1"/>
        <a:lstStyle/>
        <a:p>
          <a:pPr rtl="0"/>
          <a:r>
            <a:rPr lang="fi-FI" sz="8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rgbClr val="FF0000"/>
              </a:solidFill>
              <a:latin typeface="Arial"/>
              <a:cs typeface="Arial"/>
            </a:rPr>
            <a:t>KIRJOITA LUVUT ILMAN SENTTEJÄ KOKONAISLUKUINA! </a:t>
          </a:r>
          <a:endParaRPr lang="fi-FI" sz="1000">
            <a:effectLst/>
          </a:endParaRPr>
        </a:p>
        <a:p>
          <a:r>
            <a:rPr lang="fi-FI" sz="1100" b="1" i="0" baseline="0">
              <a:effectLst/>
              <a:latin typeface="+mn-lt"/>
              <a:ea typeface="+mn-ea"/>
              <a:cs typeface="+mn-cs"/>
            </a:rPr>
            <a:t>INVESTOINNIT TEHDÄÄN YLEENSÄ ALV-HINNOIN! </a:t>
          </a:r>
          <a:endParaRPr lang="fi-FI" sz="1100" b="1" i="0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lnSpc>
              <a:spcPts val="1300"/>
            </a:lnSpc>
            <a:defRPr sz="1000"/>
          </a:pPr>
          <a:b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  <a:t>Laskentaohjelmassa täytetään vain keltaisia ruutuja (soluja).</a:t>
          </a:r>
          <a: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  <a: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  <a:t>Muut solut ovat tarkoituksella lukittu. Laskennan edetessä ohjelma laskee lukittuihin soluihin arvoja. Täytä sivu kerrallaan seuraamalla vasemman reunan numerointia.</a:t>
          </a:r>
        </a:p>
        <a:p>
          <a:pPr algn="l" rtl="0">
            <a:lnSpc>
              <a:spcPts val="1300"/>
            </a:lnSpc>
            <a:defRPr sz="1000"/>
          </a:pPr>
          <a:endParaRPr lang="fi-FI" sz="1000" b="1" i="0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300"/>
            </a:lnSpc>
            <a:defRPr sz="1000"/>
          </a:pPr>
          <a: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  <a:t>Kohdat 1 - 7: </a:t>
          </a:r>
          <a: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  <a:t>Investoinnit on arvioitava toteutumisajankohdan mukaisesti.</a:t>
          </a:r>
        </a:p>
        <a:p>
          <a:pPr algn="l" rtl="0">
            <a:lnSpc>
              <a:spcPts val="1300"/>
            </a:lnSpc>
            <a:defRPr sz="1000"/>
          </a:pPr>
          <a: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  <a:t>Kohta 9:   </a:t>
          </a:r>
          <a: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  <a:t>Käyttöpääoman lisäyksellä tarkoitetaan investoinnin aiheuttamaa pysyvää käyttöpääoman</a:t>
          </a:r>
          <a:b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  <a:t>                 lisätarvetta. </a:t>
          </a:r>
          <a: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  <a:t>Käyttöpääoma = </a:t>
          </a:r>
          <a: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  <a:t>Vaihto-omaisuus+myyntisaamiset-ostovelat-saadut ennakkomaksut.</a:t>
          </a:r>
        </a:p>
        <a:p>
          <a:pPr algn="l" rtl="0">
            <a:lnSpc>
              <a:spcPts val="1300"/>
            </a:lnSpc>
            <a:defRPr sz="1000"/>
          </a:pPr>
          <a: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  <a:t>Kohta 11: </a:t>
          </a:r>
          <a: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  <a:t>Oman pääoman lisäykset.</a:t>
          </a:r>
        </a:p>
        <a:p>
          <a:pPr algn="l" rtl="0">
            <a:lnSpc>
              <a:spcPts val="1300"/>
            </a:lnSpc>
            <a:defRPr sz="1000"/>
          </a:pPr>
          <a: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  <a:t>Kohta 12: </a:t>
          </a:r>
          <a: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  <a:t>Tulorahoitus, joka voidaan käyttää tähän investointiin.</a:t>
          </a:r>
        </a:p>
        <a:p>
          <a:pPr algn="l" rtl="0">
            <a:lnSpc>
              <a:spcPts val="1300"/>
            </a:lnSpc>
            <a:defRPr sz="1000"/>
          </a:pPr>
          <a: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  <a:t>Kohta 13: </a:t>
          </a:r>
          <a: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  <a:t>Pääomalainan lisäys.</a:t>
          </a:r>
        </a:p>
        <a:p>
          <a:pPr algn="l" rtl="0">
            <a:lnSpc>
              <a:spcPts val="1300"/>
            </a:lnSpc>
            <a:defRPr sz="1000"/>
          </a:pPr>
          <a: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  <a:t>Kohta 14: </a:t>
          </a:r>
          <a: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  <a:t>Omistajien antamat velkakirjalainat, omaisuuden ja sijoitusten myynnistä saadut rahat,</a:t>
          </a:r>
          <a:b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  <a:t>                 oman työn ja materiaalin osuus.</a:t>
          </a:r>
        </a:p>
        <a:p>
          <a:pPr algn="l" rtl="0">
            <a:lnSpc>
              <a:spcPts val="1300"/>
            </a:lnSpc>
            <a:defRPr sz="1000"/>
          </a:pPr>
          <a:endParaRPr lang="fi-FI" sz="1000" b="0" i="0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300"/>
            </a:lnSpc>
            <a:defRPr sz="1000"/>
          </a:pPr>
          <a: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  <a:t>Tämän ohjelaatikon voit pienentää nurkista vetämällä tai siirtää.</a:t>
          </a:r>
        </a:p>
        <a:p>
          <a:pPr algn="l" rtl="0">
            <a:lnSpc>
              <a:spcPts val="1300"/>
            </a:lnSpc>
            <a:defRPr sz="1000"/>
          </a:pPr>
          <a:b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</a:br>
          <a:endParaRPr lang="fi-FI" sz="900" b="1" i="0" strike="noStrike">
            <a:solidFill>
              <a:srgbClr val="004990"/>
            </a:solidFill>
            <a:latin typeface="Arial"/>
            <a:cs typeface="Arial"/>
          </a:endParaRPr>
        </a:p>
      </xdr:txBody>
    </xdr:sp>
    <xdr:clientData fLocksWithSheet="0" fPrintsWithSheet="0"/>
  </xdr:twoCellAnchor>
  <xdr:twoCellAnchor editAs="oneCell">
    <xdr:from>
      <xdr:col>7</xdr:col>
      <xdr:colOff>466726</xdr:colOff>
      <xdr:row>1</xdr:row>
      <xdr:rowOff>133351</xdr:rowOff>
    </xdr:from>
    <xdr:to>
      <xdr:col>9</xdr:col>
      <xdr:colOff>2723</xdr:colOff>
      <xdr:row>4</xdr:row>
      <xdr:rowOff>21061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A6607967-DC48-4908-B3D1-D4B679D80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4701" y="309564"/>
          <a:ext cx="1080000" cy="4115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143896</xdr:colOff>
      <xdr:row>19</xdr:row>
      <xdr:rowOff>105062</xdr:rowOff>
    </xdr:from>
    <xdr:to>
      <xdr:col>0</xdr:col>
      <xdr:colOff>554409</xdr:colOff>
      <xdr:row>21</xdr:row>
      <xdr:rowOff>158162</xdr:rowOff>
    </xdr:to>
    <xdr:pic>
      <xdr:nvPicPr>
        <xdr:cNvPr id="27" name="Kuva 2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BBC4CA-44DD-46BD-B802-73FF2EE6D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96" y="2842819"/>
          <a:ext cx="410513" cy="368786"/>
        </a:xfrm>
        <a:prstGeom prst="rect">
          <a:avLst/>
        </a:prstGeom>
      </xdr:spPr>
    </xdr:pic>
    <xdr:clientData/>
  </xdr:twoCellAnchor>
  <xdr:twoCellAnchor editAs="oneCell">
    <xdr:from>
      <xdr:col>0</xdr:col>
      <xdr:colOff>137957</xdr:colOff>
      <xdr:row>31</xdr:row>
      <xdr:rowOff>134744</xdr:rowOff>
    </xdr:from>
    <xdr:to>
      <xdr:col>0</xdr:col>
      <xdr:colOff>554185</xdr:colOff>
      <xdr:row>34</xdr:row>
      <xdr:rowOff>102935</xdr:rowOff>
    </xdr:to>
    <xdr:pic>
      <xdr:nvPicPr>
        <xdr:cNvPr id="29" name="Kuva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0A8EB35-5774-4B95-84F8-ACC9FC366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57" y="4853701"/>
          <a:ext cx="416228" cy="381848"/>
        </a:xfrm>
        <a:prstGeom prst="rect">
          <a:avLst/>
        </a:prstGeom>
      </xdr:spPr>
    </xdr:pic>
    <xdr:clientData/>
  </xdr:twoCellAnchor>
  <xdr:twoCellAnchor editAs="oneCell">
    <xdr:from>
      <xdr:col>0</xdr:col>
      <xdr:colOff>147258</xdr:colOff>
      <xdr:row>29</xdr:row>
      <xdr:rowOff>53766</xdr:rowOff>
    </xdr:from>
    <xdr:to>
      <xdr:col>0</xdr:col>
      <xdr:colOff>550150</xdr:colOff>
      <xdr:row>31</xdr:row>
      <xdr:rowOff>113669</xdr:rowOff>
    </xdr:to>
    <xdr:pic>
      <xdr:nvPicPr>
        <xdr:cNvPr id="30" name="Kuva 2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B343B2D-AD84-435B-8C1D-1A6F9DA8F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58" y="5646846"/>
          <a:ext cx="406702" cy="379943"/>
        </a:xfrm>
        <a:prstGeom prst="rect">
          <a:avLst/>
        </a:prstGeom>
      </xdr:spPr>
    </xdr:pic>
    <xdr:clientData/>
  </xdr:twoCellAnchor>
  <xdr:twoCellAnchor editAs="oneCell">
    <xdr:from>
      <xdr:col>0</xdr:col>
      <xdr:colOff>152323</xdr:colOff>
      <xdr:row>24</xdr:row>
      <xdr:rowOff>69142</xdr:rowOff>
    </xdr:from>
    <xdr:to>
      <xdr:col>0</xdr:col>
      <xdr:colOff>555216</xdr:colOff>
      <xdr:row>26</xdr:row>
      <xdr:rowOff>135578</xdr:rowOff>
    </xdr:to>
    <xdr:pic>
      <xdr:nvPicPr>
        <xdr:cNvPr id="31" name="Kuva 3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58235FA-B111-401D-B759-8F1B0304D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23" y="3639656"/>
          <a:ext cx="402893" cy="382122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21</xdr:row>
      <xdr:rowOff>191787</xdr:rowOff>
    </xdr:from>
    <xdr:to>
      <xdr:col>0</xdr:col>
      <xdr:colOff>553388</xdr:colOff>
      <xdr:row>24</xdr:row>
      <xdr:rowOff>54658</xdr:rowOff>
    </xdr:to>
    <xdr:pic>
      <xdr:nvPicPr>
        <xdr:cNvPr id="32" name="Kuva 3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5822D4F-7271-43F1-ADAB-DBCB970EE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245230"/>
          <a:ext cx="410513" cy="379942"/>
        </a:xfrm>
        <a:prstGeom prst="rect">
          <a:avLst/>
        </a:prstGeom>
      </xdr:spPr>
    </xdr:pic>
    <xdr:clientData/>
  </xdr:twoCellAnchor>
  <xdr:twoCellAnchor editAs="oneCell">
    <xdr:from>
      <xdr:col>0</xdr:col>
      <xdr:colOff>150018</xdr:colOff>
      <xdr:row>26</xdr:row>
      <xdr:rowOff>152401</xdr:rowOff>
    </xdr:from>
    <xdr:to>
      <xdr:col>0</xdr:col>
      <xdr:colOff>552911</xdr:colOff>
      <xdr:row>29</xdr:row>
      <xdr:rowOff>43372</xdr:rowOff>
    </xdr:to>
    <xdr:pic>
      <xdr:nvPicPr>
        <xdr:cNvPr id="33" name="Kuva 3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36687-9E69-488A-97E2-7FF39C9E7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18" y="4038601"/>
          <a:ext cx="402893" cy="408042"/>
        </a:xfrm>
        <a:prstGeom prst="rect">
          <a:avLst/>
        </a:prstGeom>
      </xdr:spPr>
    </xdr:pic>
    <xdr:clientData/>
  </xdr:twoCellAnchor>
  <xdr:twoCellAnchor editAs="oneCell">
    <xdr:from>
      <xdr:col>0</xdr:col>
      <xdr:colOff>146958</xdr:colOff>
      <xdr:row>14</xdr:row>
      <xdr:rowOff>122464</xdr:rowOff>
    </xdr:from>
    <xdr:to>
      <xdr:col>0</xdr:col>
      <xdr:colOff>549851</xdr:colOff>
      <xdr:row>17</xdr:row>
      <xdr:rowOff>576</xdr:rowOff>
    </xdr:to>
    <xdr:pic>
      <xdr:nvPicPr>
        <xdr:cNvPr id="3" name="Kuva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06A21B8-51A0-41A5-A9C9-630709EC6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58" y="2027464"/>
          <a:ext cx="402893" cy="395183"/>
        </a:xfrm>
        <a:prstGeom prst="rect">
          <a:avLst/>
        </a:prstGeom>
      </xdr:spPr>
    </xdr:pic>
    <xdr:clientData/>
  </xdr:twoCellAnchor>
  <xdr:twoCellAnchor editAs="oneCell">
    <xdr:from>
      <xdr:col>0</xdr:col>
      <xdr:colOff>140155</xdr:colOff>
      <xdr:row>17</xdr:row>
      <xdr:rowOff>19050</xdr:rowOff>
    </xdr:from>
    <xdr:to>
      <xdr:col>0</xdr:col>
      <xdr:colOff>550668</xdr:colOff>
      <xdr:row>19</xdr:row>
      <xdr:rowOff>80316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6AB3F950-72D0-440D-9E3E-4B022CC67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55" y="2441121"/>
          <a:ext cx="410513" cy="376952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34</xdr:row>
      <xdr:rowOff>152400</xdr:rowOff>
    </xdr:from>
    <xdr:to>
      <xdr:col>0</xdr:col>
      <xdr:colOff>533400</xdr:colOff>
      <xdr:row>37</xdr:row>
      <xdr:rowOff>38102</xdr:rowOff>
    </xdr:to>
    <xdr:pic>
      <xdr:nvPicPr>
        <xdr:cNvPr id="14" name="Kuva 13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BA2FDFA5-AB25-4A59-80FC-1EF275523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71450" y="6677025"/>
          <a:ext cx="361950" cy="361951"/>
        </a:xfrm>
        <a:prstGeom prst="rect">
          <a:avLst/>
        </a:prstGeom>
      </xdr:spPr>
    </xdr:pic>
    <xdr:clientData/>
  </xdr:twoCellAnchor>
  <xdr:twoCellAnchor editAs="oneCell">
    <xdr:from>
      <xdr:col>15</xdr:col>
      <xdr:colOff>219074</xdr:colOff>
      <xdr:row>1</xdr:row>
      <xdr:rowOff>66676</xdr:rowOff>
    </xdr:from>
    <xdr:to>
      <xdr:col>16</xdr:col>
      <xdr:colOff>579936</xdr:colOff>
      <xdr:row>4</xdr:row>
      <xdr:rowOff>168019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70D6A2C5-D6F0-41D7-95AC-2DB46CAD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4" y="242889"/>
          <a:ext cx="1080000" cy="411585"/>
        </a:xfrm>
        <a:prstGeom prst="rect">
          <a:avLst/>
        </a:prstGeom>
      </xdr:spPr>
    </xdr:pic>
    <xdr:clientData/>
  </xdr:twoCellAnchor>
  <xdr:twoCellAnchor>
    <xdr:from>
      <xdr:col>17</xdr:col>
      <xdr:colOff>146684</xdr:colOff>
      <xdr:row>1</xdr:row>
      <xdr:rowOff>54426</xdr:rowOff>
    </xdr:from>
    <xdr:to>
      <xdr:col>22</xdr:col>
      <xdr:colOff>600075</xdr:colOff>
      <xdr:row>25</xdr:row>
      <xdr:rowOff>92529</xdr:rowOff>
    </xdr:to>
    <xdr:sp macro="" textlink="">
      <xdr:nvSpPr>
        <xdr:cNvPr id="13" name="AutoShape 189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Arrowheads="1"/>
        </xdr:cNvSpPr>
      </xdr:nvSpPr>
      <xdr:spPr bwMode="auto">
        <a:xfrm>
          <a:off x="12126413" y="234040"/>
          <a:ext cx="3370762" cy="3586846"/>
        </a:xfrm>
        <a:prstGeom prst="foldedCorner">
          <a:avLst>
            <a:gd name="adj" fmla="val 12500"/>
          </a:avLst>
        </a:prstGeom>
        <a:solidFill>
          <a:srgbClr val="FFC000"/>
        </a:solidFill>
        <a:ln>
          <a:noFill/>
          <a:headEnd/>
          <a:tailEnd/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wrap="square" lIns="72000" tIns="72000" rIns="36000" bIns="36000" anchor="t" upright="1"/>
        <a:lstStyle/>
        <a:p>
          <a:pPr algn="l" rtl="0">
            <a:lnSpc>
              <a:spcPts val="1300"/>
            </a:lnSpc>
            <a:defRPr sz="1000"/>
          </a:pPr>
          <a:r>
            <a:rPr lang="fi-FI" sz="800" b="1" i="0" strike="noStrike">
              <a:solidFill>
                <a:srgbClr val="000000"/>
              </a:solidFill>
              <a:latin typeface="Arial"/>
              <a:cs typeface="Arial"/>
            </a:rPr>
            <a:t>OHJE </a:t>
          </a:r>
          <a:br>
            <a:rPr lang="fi-FI" sz="8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KIRJOITA LUVUT ILMAN SENTTEJÄ KOKONAISLUKUINA! </a:t>
          </a:r>
          <a:br>
            <a:rPr lang="fi-FI" sz="900" b="1" i="1" strike="noStrike">
              <a:solidFill>
                <a:srgbClr val="000000"/>
              </a:solidFill>
              <a:latin typeface="Arial"/>
              <a:cs typeface="Arial"/>
            </a:rPr>
          </a:br>
          <a:br>
            <a:rPr lang="fi-FI" sz="900" b="1" i="1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900" b="1" i="0" strike="noStrike">
              <a:solidFill>
                <a:srgbClr val="000000"/>
              </a:solidFill>
              <a:latin typeface="Arial"/>
              <a:cs typeface="Arial"/>
            </a:rPr>
            <a:t>VAIN </a:t>
          </a:r>
          <a:r>
            <a:rPr lang="fi-FI" sz="900" b="1" i="0" strike="noStrike" baseline="0">
              <a:solidFill>
                <a:srgbClr val="000000"/>
              </a:solidFill>
              <a:latin typeface="Arial"/>
              <a:cs typeface="Arial"/>
            </a:rPr>
            <a:t> ALKUPERÄISEN SUUNNITELMAN MUKAISET LAINANLYHENNYKSET! </a:t>
          </a:r>
          <a:br>
            <a:rPr lang="fi-FI" sz="900" b="1" i="0" strike="noStrike" baseline="0">
              <a:solidFill>
                <a:srgbClr val="000000"/>
              </a:solidFill>
              <a:latin typeface="Arial"/>
              <a:cs typeface="Arial"/>
            </a:rPr>
          </a:br>
          <a:br>
            <a:rPr lang="fi-FI" sz="900" b="1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fi-FI" sz="900" b="1" i="0" strike="noStrike" baseline="0">
              <a:solidFill>
                <a:srgbClr val="000000"/>
              </a:solidFill>
              <a:latin typeface="Arial"/>
              <a:cs typeface="Arial"/>
            </a:rPr>
            <a:t>HUOMIOI 1. TILIKAUDEN PITUUS LAINAN LYHENNYKSEEN JA KORKOON!</a:t>
          </a:r>
          <a:br>
            <a:rPr lang="fi-FI" sz="900" b="1" i="0" strike="noStrike" baseline="0">
              <a:solidFill>
                <a:srgbClr val="000000"/>
              </a:solidFill>
              <a:latin typeface="Arial"/>
              <a:cs typeface="Arial"/>
            </a:rPr>
          </a:br>
          <a:endParaRPr lang="fi-FI" sz="900" b="1" i="0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300"/>
            </a:lnSpc>
            <a:defRPr sz="1000"/>
          </a:pPr>
          <a:r>
            <a:rPr lang="fi-FI" sz="900" b="1" i="0" strike="noStrike" baseline="0">
              <a:solidFill>
                <a:srgbClr val="000000"/>
              </a:solidFill>
              <a:latin typeface="Arial"/>
              <a:cs typeface="Arial"/>
            </a:rPr>
            <a:t>Ylimääräiset lainanlyhennykset / lyhennyserien muutokset merkitään 5. T4 RAHOITUSSUUNNITELMA -taulukon kohtaan 19.</a:t>
          </a:r>
          <a:br>
            <a:rPr lang="fi-FI" sz="900" b="1" i="0" strike="noStrike" baseline="0">
              <a:solidFill>
                <a:srgbClr val="000000"/>
              </a:solidFill>
              <a:latin typeface="Arial"/>
              <a:cs typeface="Arial"/>
            </a:rPr>
          </a:br>
          <a:br>
            <a:rPr lang="fi-FI" sz="900" b="1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fi-FI" sz="900" b="1" i="0" strike="noStrike" baseline="0">
              <a:solidFill>
                <a:srgbClr val="000000"/>
              </a:solidFill>
              <a:latin typeface="Arial"/>
              <a:cs typeface="Arial"/>
            </a:rPr>
            <a:t>Pääomalainat kohtaan 13 taulukkoon </a:t>
          </a:r>
          <a:br>
            <a:rPr lang="fi-FI" sz="900" b="1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fi-FI" sz="900" b="1" i="0" strike="noStrike" baseline="0">
              <a:solidFill>
                <a:srgbClr val="000000"/>
              </a:solidFill>
              <a:latin typeface="Arial"/>
              <a:cs typeface="Arial"/>
            </a:rPr>
            <a:t>1. T1 INVESTOINTISUUNNITELMA. </a:t>
          </a:r>
        </a:p>
        <a:p>
          <a:pPr algn="l" rtl="0">
            <a:lnSpc>
              <a:spcPts val="1300"/>
            </a:lnSpc>
            <a:defRPr sz="1000"/>
          </a:pPr>
          <a:br>
            <a:rPr lang="fi-FI" sz="900" b="1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fi-FI" sz="900" b="1" i="0" strike="noStrike" baseline="0">
              <a:solidFill>
                <a:srgbClr val="000000"/>
              </a:solidFill>
              <a:latin typeface="Arial"/>
              <a:cs typeface="Arial"/>
            </a:rPr>
            <a:t>- TARKISTA RIVIT 40, 42 JA 44 KORKOPROSENTIT!</a:t>
          </a:r>
          <a:endParaRPr lang="fi-FI" sz="9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 fLocksWithSheet="0"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225028</xdr:colOff>
      <xdr:row>104</xdr:row>
      <xdr:rowOff>18487</xdr:rowOff>
    </xdr:from>
    <xdr:ext cx="406703" cy="396000"/>
    <xdr:pic>
      <xdr:nvPicPr>
        <xdr:cNvPr id="14" name="Kuva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0AE97B-9168-4B23-A055-296F4930B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50381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221777</xdr:colOff>
      <xdr:row>119</xdr:row>
      <xdr:rowOff>158693</xdr:rowOff>
    </xdr:from>
    <xdr:ext cx="406703" cy="396000"/>
    <xdr:pic>
      <xdr:nvPicPr>
        <xdr:cNvPr id="15" name="Kuva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A92CE5F-24A2-4B27-B085-D61C3B6E1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777" y="7492943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223458</xdr:colOff>
      <xdr:row>117</xdr:row>
      <xdr:rowOff>63291</xdr:rowOff>
    </xdr:from>
    <xdr:ext cx="406702" cy="393278"/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BCA3F1-7E21-4A51-B9FC-972931AAB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458" y="7102266"/>
          <a:ext cx="406702" cy="393278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112</xdr:row>
      <xdr:rowOff>9271</xdr:rowOff>
    </xdr:from>
    <xdr:ext cx="406703" cy="396000"/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3368B43-2831-4004-9743-7F6DDFE5A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6257671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109</xdr:row>
      <xdr:rowOff>67962</xdr:rowOff>
    </xdr:from>
    <xdr:ext cx="406703" cy="396000"/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EFF121D-A6F5-48F6-B327-E3F49D4C2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8591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226218</xdr:colOff>
      <xdr:row>114</xdr:row>
      <xdr:rowOff>119743</xdr:rowOff>
    </xdr:from>
    <xdr:ext cx="406703" cy="393619"/>
    <xdr:pic>
      <xdr:nvPicPr>
        <xdr:cNvPr id="19" name="Kuva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6F3829F-E7FF-4306-94CB-DF3A27380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8" y="667294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101</xdr:row>
      <xdr:rowOff>75214</xdr:rowOff>
    </xdr:from>
    <xdr:ext cx="406703" cy="393701"/>
    <xdr:pic>
      <xdr:nvPicPr>
        <xdr:cNvPr id="20" name="Kuv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2DF3E094-0663-460E-A815-37562F737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4637689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106</xdr:row>
      <xdr:rowOff>127766</xdr:rowOff>
    </xdr:from>
    <xdr:ext cx="408016" cy="393700"/>
    <xdr:pic>
      <xdr:nvPicPr>
        <xdr:cNvPr id="21" name="Kuva 20">
          <a:extLst>
            <a:ext uri="{FF2B5EF4-FFF2-40B4-BE49-F238E27FC236}">
              <a16:creationId xmlns:a16="http://schemas.microsoft.com/office/drawing/2014/main" id="{E28E54EA-1848-4C60-9C7C-89A69BFE9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5452241"/>
          <a:ext cx="408016" cy="393700"/>
        </a:xfrm>
        <a:prstGeom prst="rect">
          <a:avLst/>
        </a:prstGeom>
      </xdr:spPr>
    </xdr:pic>
    <xdr:clientData/>
  </xdr:oneCellAnchor>
  <xdr:oneCellAnchor>
    <xdr:from>
      <xdr:col>0</xdr:col>
      <xdr:colOff>240196</xdr:colOff>
      <xdr:row>122</xdr:row>
      <xdr:rowOff>82826</xdr:rowOff>
    </xdr:from>
    <xdr:ext cx="361950" cy="354497"/>
    <xdr:pic>
      <xdr:nvPicPr>
        <xdr:cNvPr id="22" name="Kuva 21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3AAF61D-72D8-4A98-B7D7-221C74737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240196" y="7893326"/>
          <a:ext cx="361950" cy="354497"/>
        </a:xfrm>
        <a:prstGeom prst="rect">
          <a:avLst/>
        </a:prstGeom>
      </xdr:spPr>
    </xdr:pic>
    <xdr:clientData/>
  </xdr:oneCellAnchor>
  <xdr:oneCellAnchor>
    <xdr:from>
      <xdr:col>0</xdr:col>
      <xdr:colOff>225028</xdr:colOff>
      <xdr:row>39</xdr:row>
      <xdr:rowOff>18487</xdr:rowOff>
    </xdr:from>
    <xdr:ext cx="406703" cy="396000"/>
    <xdr:pic>
      <xdr:nvPicPr>
        <xdr:cNvPr id="23" name="Kuva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FE96B0-8422-4142-8029-5E7DFD708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15896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221777</xdr:colOff>
      <xdr:row>54</xdr:row>
      <xdr:rowOff>158693</xdr:rowOff>
    </xdr:from>
    <xdr:ext cx="406703" cy="396000"/>
    <xdr:pic>
      <xdr:nvPicPr>
        <xdr:cNvPr id="24" name="Kuva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41D8373-082F-4491-8A3A-C89A09C99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777" y="18351443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223458</xdr:colOff>
      <xdr:row>52</xdr:row>
      <xdr:rowOff>63291</xdr:rowOff>
    </xdr:from>
    <xdr:ext cx="406702" cy="393278"/>
    <xdr:pic>
      <xdr:nvPicPr>
        <xdr:cNvPr id="25" name="Kuva 2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62EC77D-8701-4F7C-AA27-43837520C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458" y="17951241"/>
          <a:ext cx="406702" cy="393278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47</xdr:row>
      <xdr:rowOff>9271</xdr:rowOff>
    </xdr:from>
    <xdr:ext cx="406703" cy="396000"/>
    <xdr:pic>
      <xdr:nvPicPr>
        <xdr:cNvPr id="26" name="Kuva 2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C3C5AE4-6A66-4D09-918D-04EDF7BFB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1712569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44</xdr:row>
      <xdr:rowOff>67962</xdr:rowOff>
    </xdr:from>
    <xdr:ext cx="406703" cy="396000"/>
    <xdr:pic>
      <xdr:nvPicPr>
        <xdr:cNvPr id="27" name="Kuva 2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A19D984-E169-40B9-9E64-38D678438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6717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226218</xdr:colOff>
      <xdr:row>49</xdr:row>
      <xdr:rowOff>119743</xdr:rowOff>
    </xdr:from>
    <xdr:ext cx="406703" cy="393619"/>
    <xdr:pic>
      <xdr:nvPicPr>
        <xdr:cNvPr id="28" name="Kuva 2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DF31C274-A9DE-40FD-B9D3-3D9D7726D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8" y="1755049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36</xdr:row>
      <xdr:rowOff>75214</xdr:rowOff>
    </xdr:from>
    <xdr:ext cx="406703" cy="393701"/>
    <xdr:pic>
      <xdr:nvPicPr>
        <xdr:cNvPr id="29" name="Kuva 2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4F5784B5-B75D-417F-AFEB-8FA3D99A5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5496189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41</xdr:row>
      <xdr:rowOff>127766</xdr:rowOff>
    </xdr:from>
    <xdr:ext cx="408016" cy="393700"/>
    <xdr:pic>
      <xdr:nvPicPr>
        <xdr:cNvPr id="30" name="Kuva 29">
          <a:extLst>
            <a:ext uri="{FF2B5EF4-FFF2-40B4-BE49-F238E27FC236}">
              <a16:creationId xmlns:a16="http://schemas.microsoft.com/office/drawing/2014/main" id="{7A30C121-9AEE-4C6B-AFD9-1583EA789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16320266"/>
          <a:ext cx="408016" cy="393700"/>
        </a:xfrm>
        <a:prstGeom prst="rect">
          <a:avLst/>
        </a:prstGeom>
      </xdr:spPr>
    </xdr:pic>
    <xdr:clientData/>
  </xdr:oneCellAnchor>
  <xdr:oneCellAnchor>
    <xdr:from>
      <xdr:col>0</xdr:col>
      <xdr:colOff>240196</xdr:colOff>
      <xdr:row>57</xdr:row>
      <xdr:rowOff>82826</xdr:rowOff>
    </xdr:from>
    <xdr:ext cx="361950" cy="354497"/>
    <xdr:pic>
      <xdr:nvPicPr>
        <xdr:cNvPr id="31" name="Kuva 30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53FC442-8B05-4648-9506-EB654A341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240196" y="18742301"/>
          <a:ext cx="361950" cy="354497"/>
        </a:xfrm>
        <a:prstGeom prst="rect">
          <a:avLst/>
        </a:prstGeom>
      </xdr:spPr>
    </xdr:pic>
    <xdr:clientData/>
  </xdr:oneCellAnchor>
  <xdr:twoCellAnchor editAs="oneCell">
    <xdr:from>
      <xdr:col>9</xdr:col>
      <xdr:colOff>28576</xdr:colOff>
      <xdr:row>3</xdr:row>
      <xdr:rowOff>9526</xdr:rowOff>
    </xdr:from>
    <xdr:to>
      <xdr:col>11</xdr:col>
      <xdr:colOff>1398</xdr:colOff>
      <xdr:row>5</xdr:row>
      <xdr:rowOff>2011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5B3484AC-F37A-4FB7-8866-650F1D89B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1" y="542926"/>
          <a:ext cx="1080000" cy="411585"/>
        </a:xfrm>
        <a:prstGeom prst="rect">
          <a:avLst/>
        </a:prstGeom>
      </xdr:spPr>
    </xdr:pic>
    <xdr:clientData/>
  </xdr:twoCellAnchor>
  <xdr:twoCellAnchor>
    <xdr:from>
      <xdr:col>11</xdr:col>
      <xdr:colOff>145938</xdr:colOff>
      <xdr:row>0</xdr:row>
      <xdr:rowOff>152494</xdr:rowOff>
    </xdr:from>
    <xdr:to>
      <xdr:col>17</xdr:col>
      <xdr:colOff>429987</xdr:colOff>
      <xdr:row>6</xdr:row>
      <xdr:rowOff>5444</xdr:rowOff>
    </xdr:to>
    <xdr:sp macro="" textlink="">
      <xdr:nvSpPr>
        <xdr:cNvPr id="4" name="AutoShape 189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Arrowheads="1"/>
        </xdr:cNvSpPr>
      </xdr:nvSpPr>
      <xdr:spPr bwMode="auto">
        <a:xfrm>
          <a:off x="8315667" y="152494"/>
          <a:ext cx="3838234" cy="930636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72000" rIns="36000" bIns="36000" anchor="t" upright="1"/>
        <a:lstStyle/>
        <a:p>
          <a:pPr algn="l" rtl="0">
            <a:lnSpc>
              <a:spcPts val="1300"/>
            </a:lnSpc>
            <a:defRPr sz="1000"/>
          </a:pPr>
          <a:r>
            <a:rPr lang="fi-FI" sz="8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</a:p>
        <a:p>
          <a:pPr algn="l" rtl="0">
            <a:lnSpc>
              <a:spcPts val="13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TÄYTETÄÄN</a:t>
          </a:r>
          <a: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  <a:t>  1. ENNUSTEVUODEN KELTAISET SOLUT</a:t>
          </a: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. KIRJOITA LUVUT PLUS-MERKKISINÄ. </a:t>
          </a:r>
          <a:b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Huomioi tilikauden pituus tilikauden kuluja arvioitaessa</a:t>
          </a:r>
          <a:r>
            <a:rPr lang="fi-FI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.</a:t>
          </a:r>
          <a:br>
            <a:rPr lang="fi-FI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</a:br>
          <a:endParaRPr lang="fi-FI" sz="9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 fLocksWithSheet="0"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186928</xdr:colOff>
      <xdr:row>36</xdr:row>
      <xdr:rowOff>104212</xdr:rowOff>
    </xdr:from>
    <xdr:to>
      <xdr:col>0</xdr:col>
      <xdr:colOff>593631</xdr:colOff>
      <xdr:row>39</xdr:row>
      <xdr:rowOff>58252</xdr:rowOff>
    </xdr:to>
    <xdr:pic>
      <xdr:nvPicPr>
        <xdr:cNvPr id="25" name="Kuva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77A648-4E73-4C4C-9784-8536FE9C5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28" y="7457512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181996</xdr:colOff>
      <xdr:row>39</xdr:row>
      <xdr:rowOff>54716</xdr:rowOff>
    </xdr:from>
    <xdr:to>
      <xdr:col>0</xdr:col>
      <xdr:colOff>588699</xdr:colOff>
      <xdr:row>41</xdr:row>
      <xdr:rowOff>136391</xdr:rowOff>
    </xdr:to>
    <xdr:pic>
      <xdr:nvPicPr>
        <xdr:cNvPr id="26" name="Kuva 2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ABF0A5E-149B-42B3-9C85-A7E95B3D6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96" y="7865216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183677</xdr:colOff>
      <xdr:row>52</xdr:row>
      <xdr:rowOff>111068</xdr:rowOff>
    </xdr:from>
    <xdr:to>
      <xdr:col>0</xdr:col>
      <xdr:colOff>590380</xdr:colOff>
      <xdr:row>55</xdr:row>
      <xdr:rowOff>40343</xdr:rowOff>
    </xdr:to>
    <xdr:pic>
      <xdr:nvPicPr>
        <xdr:cNvPr id="28" name="Kuva 2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0A61678-F2BA-48CF-A2C2-F44D9C056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77" y="9921818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185358</xdr:colOff>
      <xdr:row>50</xdr:row>
      <xdr:rowOff>6141</xdr:rowOff>
    </xdr:from>
    <xdr:to>
      <xdr:col>0</xdr:col>
      <xdr:colOff>592060</xdr:colOff>
      <xdr:row>52</xdr:row>
      <xdr:rowOff>94619</xdr:rowOff>
    </xdr:to>
    <xdr:pic>
      <xdr:nvPicPr>
        <xdr:cNvPr id="29" name="Kuva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BA39D07-0EF6-449C-8474-F068BB4A8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58" y="9512091"/>
          <a:ext cx="406702" cy="393278"/>
        </a:xfrm>
        <a:prstGeom prst="rect">
          <a:avLst/>
        </a:prstGeom>
      </xdr:spPr>
    </xdr:pic>
    <xdr:clientData/>
  </xdr:twoCellAnchor>
  <xdr:twoCellAnchor editAs="oneCell">
    <xdr:from>
      <xdr:col>0</xdr:col>
      <xdr:colOff>184980</xdr:colOff>
      <xdr:row>44</xdr:row>
      <xdr:rowOff>104521</xdr:rowOff>
    </xdr:from>
    <xdr:to>
      <xdr:col>0</xdr:col>
      <xdr:colOff>591683</xdr:colOff>
      <xdr:row>47</xdr:row>
      <xdr:rowOff>18556</xdr:rowOff>
    </xdr:to>
    <xdr:pic>
      <xdr:nvPicPr>
        <xdr:cNvPr id="30" name="Kuva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B83A66E-F03C-47EB-B3D5-63CD32F44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980" y="8686546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188118</xdr:colOff>
      <xdr:row>47</xdr:row>
      <xdr:rowOff>62593</xdr:rowOff>
    </xdr:from>
    <xdr:to>
      <xdr:col>0</xdr:col>
      <xdr:colOff>587201</xdr:colOff>
      <xdr:row>49</xdr:row>
      <xdr:rowOff>151412</xdr:rowOff>
    </xdr:to>
    <xdr:pic>
      <xdr:nvPicPr>
        <xdr:cNvPr id="32" name="Kuva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F905912-3C5B-4479-A05B-660864130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" y="9101818"/>
          <a:ext cx="406703" cy="393619"/>
        </a:xfrm>
        <a:prstGeom prst="rect">
          <a:avLst/>
        </a:prstGeom>
      </xdr:spPr>
    </xdr:pic>
    <xdr:clientData/>
  </xdr:twoCellAnchor>
  <xdr:twoCellAnchor editAs="oneCell">
    <xdr:from>
      <xdr:col>0</xdr:col>
      <xdr:colOff>184556</xdr:colOff>
      <xdr:row>41</xdr:row>
      <xdr:rowOff>160734</xdr:rowOff>
    </xdr:from>
    <xdr:to>
      <xdr:col>0</xdr:col>
      <xdr:colOff>591258</xdr:colOff>
      <xdr:row>44</xdr:row>
      <xdr:rowOff>93342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21059413-BA25-4F0C-96AE-D94418F66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556" y="8352234"/>
          <a:ext cx="406702" cy="397190"/>
        </a:xfrm>
        <a:prstGeom prst="rect">
          <a:avLst/>
        </a:prstGeom>
      </xdr:spPr>
    </xdr:pic>
    <xdr:clientData/>
  </xdr:twoCellAnchor>
  <xdr:twoCellAnchor editAs="oneCell">
    <xdr:from>
      <xdr:col>0</xdr:col>
      <xdr:colOff>196462</xdr:colOff>
      <xdr:row>34</xdr:row>
      <xdr:rowOff>0</xdr:rowOff>
    </xdr:from>
    <xdr:to>
      <xdr:col>0</xdr:col>
      <xdr:colOff>593639</xdr:colOff>
      <xdr:row>36</xdr:row>
      <xdr:rowOff>96677</xdr:rowOff>
    </xdr:to>
    <xdr:pic>
      <xdr:nvPicPr>
        <xdr:cNvPr id="5" name="Kuva 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8173DB5-1E04-412C-93B0-23F24F6BE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462" y="7102078"/>
          <a:ext cx="406702" cy="400763"/>
        </a:xfrm>
        <a:prstGeom prst="rect">
          <a:avLst/>
        </a:prstGeom>
      </xdr:spPr>
    </xdr:pic>
    <xdr:clientData/>
  </xdr:twoCellAnchor>
  <xdr:twoCellAnchor editAs="oneCell">
    <xdr:from>
      <xdr:col>0</xdr:col>
      <xdr:colOff>198783</xdr:colOff>
      <xdr:row>55</xdr:row>
      <xdr:rowOff>57978</xdr:rowOff>
    </xdr:from>
    <xdr:to>
      <xdr:col>0</xdr:col>
      <xdr:colOff>555018</xdr:colOff>
      <xdr:row>57</xdr:row>
      <xdr:rowOff>131280</xdr:rowOff>
    </xdr:to>
    <xdr:pic>
      <xdr:nvPicPr>
        <xdr:cNvPr id="14" name="Kuva 13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22DDCDD-EFF6-4EC7-848D-B922B1B28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98783" y="10237304"/>
          <a:ext cx="361950" cy="361951"/>
        </a:xfrm>
        <a:prstGeom prst="rect">
          <a:avLst/>
        </a:prstGeom>
      </xdr:spPr>
    </xdr:pic>
    <xdr:clientData/>
  </xdr:twoCellAnchor>
  <xdr:twoCellAnchor editAs="oneCell">
    <xdr:from>
      <xdr:col>7</xdr:col>
      <xdr:colOff>97973</xdr:colOff>
      <xdr:row>3</xdr:row>
      <xdr:rowOff>87359</xdr:rowOff>
    </xdr:from>
    <xdr:to>
      <xdr:col>7</xdr:col>
      <xdr:colOff>855890</xdr:colOff>
      <xdr:row>5</xdr:row>
      <xdr:rowOff>1159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266B7E4A-CE18-4BBE-BC42-A19B2F0FD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1287" y="609873"/>
          <a:ext cx="767442" cy="291535"/>
        </a:xfrm>
        <a:prstGeom prst="rect">
          <a:avLst/>
        </a:prstGeom>
      </xdr:spPr>
    </xdr:pic>
    <xdr:clientData/>
  </xdr:twoCellAnchor>
  <xdr:twoCellAnchor>
    <xdr:from>
      <xdr:col>8</xdr:col>
      <xdr:colOff>363991</xdr:colOff>
      <xdr:row>0</xdr:row>
      <xdr:rowOff>63273</xdr:rowOff>
    </xdr:from>
    <xdr:to>
      <xdr:col>17</xdr:col>
      <xdr:colOff>489857</xdr:colOff>
      <xdr:row>5</xdr:row>
      <xdr:rowOff>6124</xdr:rowOff>
    </xdr:to>
    <xdr:sp macro="" textlink="">
      <xdr:nvSpPr>
        <xdr:cNvPr id="21" name="AutoShape 189">
          <a:extLst>
            <a:ext uri="{FF2B5EF4-FFF2-40B4-BE49-F238E27FC236}">
              <a16:creationId xmlns:a16="http://schemas.microsoft.com/office/drawing/2014/main" id="{BE2E99C3-97AC-4600-964B-0259C61D35E7}"/>
            </a:ext>
          </a:extLst>
        </xdr:cNvPr>
        <xdr:cNvSpPr>
          <a:spLocks noChangeArrowheads="1"/>
        </xdr:cNvSpPr>
      </xdr:nvSpPr>
      <xdr:spPr bwMode="auto">
        <a:xfrm>
          <a:off x="8239805" y="63273"/>
          <a:ext cx="4463823" cy="862694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solidFill>
            <a:srgbClr val="FFC000"/>
          </a:solidFill>
          <a:round/>
          <a:headEnd/>
          <a:tailEnd/>
        </a:ln>
      </xdr:spPr>
      <xdr:txBody>
        <a:bodyPr vertOverflow="clip" wrap="square" lIns="72000" tIns="36000" rIns="36000" bIns="36000" anchor="t" anchorCtr="0" upright="1"/>
        <a:lstStyle/>
        <a:p>
          <a:pPr marL="0" marR="0" lvl="0" indent="0" algn="l" defTabSz="914400" rtl="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i-FI" sz="8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</a:p>
        <a:p>
          <a:pPr algn="l" rtl="0">
            <a:lnSpc>
              <a:spcPts val="1300"/>
            </a:lnSpc>
            <a:defRPr sz="1000"/>
          </a:pPr>
          <a: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  <a:t>Huomioi 1. tilikauden pituus myyntiä laskettaessa. Valitse alv-% tuotekohtaisesti! Huomaa vuosimuutosprosentit oikealla! </a:t>
          </a: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Täytetään keltaiset solut. AINEKÄYTTÖ/HANKINNAT + MERKKISINÄ!</a:t>
          </a:r>
          <a:endParaRPr lang="fi-FI" sz="1000" b="1" i="0" strike="noStrike">
            <a:solidFill>
              <a:srgbClr val="004990"/>
            </a:solidFill>
            <a:latin typeface="Arial"/>
            <a:cs typeface="Arial"/>
          </a:endParaRPr>
        </a:p>
      </xdr:txBody>
    </xdr:sp>
    <xdr:clientData fLocksWithSheet="0"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139303</xdr:colOff>
      <xdr:row>27</xdr:row>
      <xdr:rowOff>85162</xdr:rowOff>
    </xdr:from>
    <xdr:to>
      <xdr:col>0</xdr:col>
      <xdr:colOff>549816</xdr:colOff>
      <xdr:row>29</xdr:row>
      <xdr:rowOff>136357</xdr:rowOff>
    </xdr:to>
    <xdr:pic>
      <xdr:nvPicPr>
        <xdr:cNvPr id="5" name="Kuv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A6685B-21D1-40E4-A896-C175F3DE6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93" y="4487617"/>
          <a:ext cx="41813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134371</xdr:colOff>
      <xdr:row>29</xdr:row>
      <xdr:rowOff>149966</xdr:rowOff>
    </xdr:from>
    <xdr:to>
      <xdr:col>0</xdr:col>
      <xdr:colOff>548694</xdr:colOff>
      <xdr:row>32</xdr:row>
      <xdr:rowOff>18281</xdr:rowOff>
    </xdr:to>
    <xdr:pic>
      <xdr:nvPicPr>
        <xdr:cNvPr id="6" name="Kuv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62F3D0A-B839-4A75-B5FA-23D71C347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61" y="4893416"/>
          <a:ext cx="42194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136052</xdr:colOff>
      <xdr:row>41</xdr:row>
      <xdr:rowOff>149168</xdr:rowOff>
    </xdr:from>
    <xdr:to>
      <xdr:col>0</xdr:col>
      <xdr:colOff>550375</xdr:colOff>
      <xdr:row>44</xdr:row>
      <xdr:rowOff>17483</xdr:rowOff>
    </xdr:to>
    <xdr:pic>
      <xdr:nvPicPr>
        <xdr:cNvPr id="7" name="Kuva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E4F20C0-562C-462D-88F9-715C57FE0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42" y="6940493"/>
          <a:ext cx="42194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137733</xdr:colOff>
      <xdr:row>39</xdr:row>
      <xdr:rowOff>82341</xdr:rowOff>
    </xdr:from>
    <xdr:to>
      <xdr:col>0</xdr:col>
      <xdr:colOff>553960</xdr:colOff>
      <xdr:row>41</xdr:row>
      <xdr:rowOff>130814</xdr:rowOff>
    </xdr:to>
    <xdr:pic>
      <xdr:nvPicPr>
        <xdr:cNvPr id="8" name="Kuva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7444495-9CCB-4DA6-ACA2-3CB51481A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23" y="6532671"/>
          <a:ext cx="416227" cy="39137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32</xdr:row>
      <xdr:rowOff>48912</xdr:rowOff>
    </xdr:from>
    <xdr:to>
      <xdr:col>0</xdr:col>
      <xdr:colOff>553388</xdr:colOff>
      <xdr:row>34</xdr:row>
      <xdr:rowOff>115347</xdr:rowOff>
    </xdr:to>
    <xdr:pic>
      <xdr:nvPicPr>
        <xdr:cNvPr id="9" name="Kuva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571CA8E-CE0B-4FB6-A7EC-CC694973C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5308617"/>
          <a:ext cx="420038" cy="394095"/>
        </a:xfrm>
        <a:prstGeom prst="rect">
          <a:avLst/>
        </a:prstGeom>
      </xdr:spPr>
    </xdr:pic>
    <xdr:clientData/>
  </xdr:twoCellAnchor>
  <xdr:twoCellAnchor editAs="oneCell">
    <xdr:from>
      <xdr:col>0</xdr:col>
      <xdr:colOff>134745</xdr:colOff>
      <xdr:row>25</xdr:row>
      <xdr:rowOff>13939</xdr:rowOff>
    </xdr:from>
    <xdr:to>
      <xdr:col>0</xdr:col>
      <xdr:colOff>548730</xdr:colOff>
      <xdr:row>27</xdr:row>
      <xdr:rowOff>96888</xdr:rowOff>
    </xdr:to>
    <xdr:pic>
      <xdr:nvPicPr>
        <xdr:cNvPr id="10" name="Kuva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ECE09EC-7B1F-4A89-B6CD-44689F160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35" y="4075399"/>
          <a:ext cx="421605" cy="40298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44</xdr:row>
      <xdr:rowOff>57150</xdr:rowOff>
    </xdr:from>
    <xdr:to>
      <xdr:col>0</xdr:col>
      <xdr:colOff>512445</xdr:colOff>
      <xdr:row>46</xdr:row>
      <xdr:rowOff>95251</xdr:rowOff>
    </xdr:to>
    <xdr:pic>
      <xdr:nvPicPr>
        <xdr:cNvPr id="11" name="Kuva 10" descr="Tulostin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5321664-391D-4EED-AFF3-3F800E035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40970" y="7359015"/>
          <a:ext cx="369570" cy="365761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34</xdr:row>
      <xdr:rowOff>114300</xdr:rowOff>
    </xdr:from>
    <xdr:to>
      <xdr:col>0</xdr:col>
      <xdr:colOff>553387</xdr:colOff>
      <xdr:row>37</xdr:row>
      <xdr:rowOff>22620</xdr:rowOff>
    </xdr:to>
    <xdr:pic>
      <xdr:nvPicPr>
        <xdr:cNvPr id="12" name="Kuva 11">
          <a:extLst>
            <a:ext uri="{FF2B5EF4-FFF2-40B4-BE49-F238E27FC236}">
              <a16:creationId xmlns:a16="http://schemas.microsoft.com/office/drawing/2014/main" id="{C05E6884-1D8D-4A31-B89E-CD82B97E8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5705475"/>
          <a:ext cx="420037" cy="40362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37</xdr:row>
      <xdr:rowOff>19050</xdr:rowOff>
    </xdr:from>
    <xdr:to>
      <xdr:col>0</xdr:col>
      <xdr:colOff>553388</xdr:colOff>
      <xdr:row>39</xdr:row>
      <xdr:rowOff>56434</xdr:rowOff>
    </xdr:to>
    <xdr:pic>
      <xdr:nvPicPr>
        <xdr:cNvPr id="13" name="Kuva 1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CFA8068-70B1-4D93-BD7B-55696F1E8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6120765"/>
          <a:ext cx="420038" cy="387904"/>
        </a:xfrm>
        <a:prstGeom prst="rect">
          <a:avLst/>
        </a:prstGeom>
      </xdr:spPr>
    </xdr:pic>
    <xdr:clientData/>
  </xdr:twoCellAnchor>
  <xdr:twoCellAnchor editAs="oneCell">
    <xdr:from>
      <xdr:col>8</xdr:col>
      <xdr:colOff>414337</xdr:colOff>
      <xdr:row>2</xdr:row>
      <xdr:rowOff>43544</xdr:rowOff>
    </xdr:from>
    <xdr:to>
      <xdr:col>10</xdr:col>
      <xdr:colOff>499</xdr:colOff>
      <xdr:row>6</xdr:row>
      <xdr:rowOff>2692</xdr:rowOff>
    </xdr:to>
    <xdr:pic>
      <xdr:nvPicPr>
        <xdr:cNvPr id="14" name="Kuva 13">
          <a:extLst>
            <a:ext uri="{FF2B5EF4-FFF2-40B4-BE49-F238E27FC236}">
              <a16:creationId xmlns:a16="http://schemas.microsoft.com/office/drawing/2014/main" id="{7746FB04-46D3-41DF-B825-2FE118DA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787" y="367394"/>
          <a:ext cx="1080000" cy="411586"/>
        </a:xfrm>
        <a:prstGeom prst="rect">
          <a:avLst/>
        </a:prstGeom>
      </xdr:spPr>
    </xdr:pic>
    <xdr:clientData/>
  </xdr:twoCellAnchor>
  <xdr:twoCellAnchor editAs="oneCell">
    <xdr:from>
      <xdr:col>18</xdr:col>
      <xdr:colOff>428625</xdr:colOff>
      <xdr:row>2</xdr:row>
      <xdr:rowOff>52388</xdr:rowOff>
    </xdr:from>
    <xdr:to>
      <xdr:col>20</xdr:col>
      <xdr:colOff>3675</xdr:colOff>
      <xdr:row>6</xdr:row>
      <xdr:rowOff>15346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F29B3928-3253-48D5-A95C-4A6824F1E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6013" y="376238"/>
          <a:ext cx="1080000" cy="411586"/>
        </a:xfrm>
        <a:prstGeom prst="rect">
          <a:avLst/>
        </a:prstGeom>
      </xdr:spPr>
    </xdr:pic>
    <xdr:clientData/>
  </xdr:twoCellAnchor>
  <xdr:twoCellAnchor>
    <xdr:from>
      <xdr:col>3</xdr:col>
      <xdr:colOff>269695</xdr:colOff>
      <xdr:row>1</xdr:row>
      <xdr:rowOff>121918</xdr:rowOff>
    </xdr:from>
    <xdr:to>
      <xdr:col>10</xdr:col>
      <xdr:colOff>0</xdr:colOff>
      <xdr:row>7</xdr:row>
      <xdr:rowOff>38099</xdr:rowOff>
    </xdr:to>
    <xdr:sp macro="" textlink="">
      <xdr:nvSpPr>
        <xdr:cNvPr id="4" name="AutoShape 189">
          <a:extLst>
            <a:ext uri="{FF2B5EF4-FFF2-40B4-BE49-F238E27FC236}">
              <a16:creationId xmlns:a16="http://schemas.microsoft.com/office/drawing/2014/main" id="{ED409D19-FAC0-4D0E-A22A-639EDB28DC3F}"/>
            </a:ext>
          </a:extLst>
        </xdr:cNvPr>
        <xdr:cNvSpPr>
          <a:spLocks noChangeArrowheads="1"/>
        </xdr:cNvSpPr>
      </xdr:nvSpPr>
      <xdr:spPr bwMode="auto">
        <a:xfrm>
          <a:off x="3197952" y="279761"/>
          <a:ext cx="4416605" cy="667295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72000" rIns="36000" bIns="36000" anchor="ctr" upright="1"/>
        <a:lstStyle/>
        <a:p>
          <a:pPr algn="l" rtl="0">
            <a:lnSpc>
              <a:spcPts val="13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Tarkista erityisesti alareunan kohdat 28 - 34! Lisää puuttuvat tiedot</a:t>
          </a:r>
          <a:r>
            <a:rPr lang="fi-FI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. </a:t>
          </a:r>
          <a:br>
            <a:rPr lang="fi-FI" sz="900" b="1" i="0" strike="noStrike" baseline="0">
              <a:solidFill>
                <a:srgbClr val="FF0000"/>
              </a:solidFill>
              <a:latin typeface="Arial"/>
              <a:cs typeface="Arial"/>
            </a:rPr>
          </a:br>
          <a:endParaRPr lang="fi-FI" sz="9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 fLocksWithSheet="0"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186928</xdr:colOff>
      <xdr:row>73</xdr:row>
      <xdr:rowOff>123262</xdr:rowOff>
    </xdr:from>
    <xdr:to>
      <xdr:col>0</xdr:col>
      <xdr:colOff>589821</xdr:colOff>
      <xdr:row>76</xdr:row>
      <xdr:rowOff>22057</xdr:rowOff>
    </xdr:to>
    <xdr:pic>
      <xdr:nvPicPr>
        <xdr:cNvPr id="25" name="Kuva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31EF82-7F07-4D55-AB8C-E3EA91CDF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28" y="11848537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8</xdr:col>
      <xdr:colOff>371475</xdr:colOff>
      <xdr:row>1</xdr:row>
      <xdr:rowOff>47625</xdr:rowOff>
    </xdr:from>
    <xdr:to>
      <xdr:col>9</xdr:col>
      <xdr:colOff>685800</xdr:colOff>
      <xdr:row>3</xdr:row>
      <xdr:rowOff>57150</xdr:rowOff>
    </xdr:to>
    <xdr:pic>
      <xdr:nvPicPr>
        <xdr:cNvPr id="4963178" name="Kuva 46" descr="YT logo vs.jpg">
          <a:extLst>
            <a:ext uri="{FF2B5EF4-FFF2-40B4-BE49-F238E27FC236}">
              <a16:creationId xmlns:a16="http://schemas.microsoft.com/office/drawing/2014/main" id="{00000000-0008-0000-0300-00006ABB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209550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776832</xdr:colOff>
      <xdr:row>1</xdr:row>
      <xdr:rowOff>47237</xdr:rowOff>
    </xdr:from>
    <xdr:ext cx="5560696" cy="1035891"/>
    <xdr:sp macro="" textlink="">
      <xdr:nvSpPr>
        <xdr:cNvPr id="20" name="AutoShape 189">
          <a:extLst>
            <a:ext uri="{FF2B5EF4-FFF2-40B4-BE49-F238E27FC236}">
              <a16:creationId xmlns:a16="http://schemas.microsoft.com/office/drawing/2014/main" id="{A8F7B71D-CFBF-4239-99C0-4196BB48D6D3}"/>
            </a:ext>
          </a:extLst>
        </xdr:cNvPr>
        <xdr:cNvSpPr>
          <a:spLocks noChangeArrowheads="1"/>
        </xdr:cNvSpPr>
      </xdr:nvSpPr>
      <xdr:spPr bwMode="auto">
        <a:xfrm>
          <a:off x="1810975" y="205080"/>
          <a:ext cx="5560696" cy="1035891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solidFill>
            <a:srgbClr val="FFC000"/>
          </a:solidFill>
          <a:round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wrap="square" lIns="72000" tIns="0" rIns="36000" bIns="0" anchor="ctr" upright="1">
          <a:noAutofit/>
        </a:bodyPr>
        <a:lstStyle/>
        <a:p>
          <a:pPr algn="l" rtl="0">
            <a:lnSpc>
              <a:spcPts val="1300"/>
            </a:lnSpc>
            <a:defRPr sz="1000"/>
          </a:pPr>
          <a:r>
            <a:rPr lang="fi-FI" sz="800" b="1" i="0" strike="noStrike">
              <a:solidFill>
                <a:srgbClr val="000000"/>
              </a:solidFill>
              <a:latin typeface="Arial"/>
              <a:cs typeface="Arial"/>
            </a:rPr>
            <a:t>OHJE </a:t>
          </a:r>
          <a:br>
            <a:rPr lang="fi-FI" sz="8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chemeClr val="tx1"/>
              </a:solidFill>
              <a:latin typeface="Arial"/>
              <a:cs typeface="Arial"/>
            </a:rPr>
            <a:t>1. TARKISTA KELTAISET SOLUT JA KORJAA PUUTTUVAT TIEDOT! </a:t>
          </a:r>
        </a:p>
        <a:p>
          <a:pPr algn="l" rtl="0">
            <a:lnSpc>
              <a:spcPts val="1300"/>
            </a:lnSpc>
            <a:defRPr sz="1000"/>
          </a:pPr>
          <a:r>
            <a:rPr lang="fi-FI" sz="1000" b="1" i="0" strike="noStrike" baseline="0">
              <a:solidFill>
                <a:schemeClr val="tx1"/>
              </a:solidFill>
              <a:latin typeface="Arial"/>
              <a:cs typeface="Arial"/>
            </a:rPr>
            <a:t>2. Tarkista poistoprosentit ja "Muistiinpanoja"-alueella investointien käyttökuukaudet. </a:t>
          </a:r>
        </a:p>
        <a:p>
          <a:pPr algn="l" rtl="0">
            <a:lnSpc>
              <a:spcPts val="1300"/>
            </a:lnSpc>
            <a:defRPr sz="1000"/>
          </a:pPr>
          <a:r>
            <a:rPr lang="fi-FI" sz="1000" b="1" i="0" strike="noStrike" baseline="0">
              <a:solidFill>
                <a:schemeClr val="tx1"/>
              </a:solidFill>
              <a:latin typeface="Arial"/>
              <a:cs typeface="Arial"/>
            </a:rPr>
            <a:t>3. Tarkista solujen G85 ja G93 prosenttiluvut!</a:t>
          </a:r>
        </a:p>
        <a:p>
          <a:pPr algn="l" rtl="0">
            <a:lnSpc>
              <a:spcPts val="1300"/>
            </a:lnSpc>
            <a:defRPr sz="1000"/>
          </a:pPr>
          <a:r>
            <a:rPr lang="fi-FI" sz="1000" b="1" i="0" strike="noStrike" baseline="0">
              <a:solidFill>
                <a:schemeClr val="tx1"/>
              </a:solidFill>
              <a:latin typeface="Arial"/>
              <a:cs typeface="Arial"/>
            </a:rPr>
            <a:t>4. Lisää lyhytaikaiset rahalaitoslainat soluihin G77 -  J77.</a:t>
          </a:r>
          <a:endParaRPr lang="fi-FI" sz="1100" b="1" i="0" strike="noStrike" baseline="0">
            <a:solidFill>
              <a:schemeClr val="tx1"/>
            </a:solidFill>
            <a:latin typeface="Arial"/>
            <a:cs typeface="Arial"/>
          </a:endParaRPr>
        </a:p>
        <a:p>
          <a:pPr algn="l" rtl="0">
            <a:lnSpc>
              <a:spcPts val="1300"/>
            </a:lnSpc>
            <a:defRPr sz="1000"/>
          </a:pPr>
          <a:r>
            <a:rPr lang="fi-FI" sz="900" b="1" i="0" strike="noStrike">
              <a:solidFill>
                <a:schemeClr val="tx1"/>
              </a:solidFill>
              <a:latin typeface="Arial"/>
              <a:cs typeface="Arial"/>
            </a:rPr>
            <a:t> </a:t>
          </a:r>
        </a:p>
      </xdr:txBody>
    </xdr:sp>
    <xdr:clientData fLocksWithSheet="0" fPrintsWithSheet="0"/>
  </xdr:oneCellAnchor>
  <xdr:twoCellAnchor editAs="oneCell">
    <xdr:from>
      <xdr:col>0</xdr:col>
      <xdr:colOff>181996</xdr:colOff>
      <xdr:row>76</xdr:row>
      <xdr:rowOff>45191</xdr:rowOff>
    </xdr:from>
    <xdr:to>
      <xdr:col>0</xdr:col>
      <xdr:colOff>592509</xdr:colOff>
      <xdr:row>78</xdr:row>
      <xdr:rowOff>117341</xdr:rowOff>
    </xdr:to>
    <xdr:pic>
      <xdr:nvPicPr>
        <xdr:cNvPr id="26" name="Kuva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5D4F827-5BEB-496F-AEB0-C8E6146F0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96" y="12256241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183677</xdr:colOff>
      <xdr:row>88</xdr:row>
      <xdr:rowOff>158693</xdr:rowOff>
    </xdr:from>
    <xdr:to>
      <xdr:col>0</xdr:col>
      <xdr:colOff>594190</xdr:colOff>
      <xdr:row>91</xdr:row>
      <xdr:rowOff>55583</xdr:rowOff>
    </xdr:to>
    <xdr:pic>
      <xdr:nvPicPr>
        <xdr:cNvPr id="28" name="Kuva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B887FFC-C5F6-488E-9720-E55D28FC8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77" y="14312843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185358</xdr:colOff>
      <xdr:row>86</xdr:row>
      <xdr:rowOff>72816</xdr:rowOff>
    </xdr:from>
    <xdr:to>
      <xdr:col>0</xdr:col>
      <xdr:colOff>588250</xdr:colOff>
      <xdr:row>88</xdr:row>
      <xdr:rowOff>132719</xdr:rowOff>
    </xdr:to>
    <xdr:pic>
      <xdr:nvPicPr>
        <xdr:cNvPr id="29" name="Kuva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A5DC7C6-E879-4D52-A328-EC02F3C19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58" y="13903116"/>
          <a:ext cx="406702" cy="393278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78</xdr:row>
      <xdr:rowOff>134637</xdr:rowOff>
    </xdr:from>
    <xdr:to>
      <xdr:col>0</xdr:col>
      <xdr:colOff>591488</xdr:colOff>
      <xdr:row>81</xdr:row>
      <xdr:rowOff>58197</xdr:rowOff>
    </xdr:to>
    <xdr:pic>
      <xdr:nvPicPr>
        <xdr:cNvPr id="31" name="Kuva 3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3B9C608-19BA-4D06-8A87-28ED34D55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2669537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179358</xdr:colOff>
      <xdr:row>71</xdr:row>
      <xdr:rowOff>38564</xdr:rowOff>
    </xdr:from>
    <xdr:to>
      <xdr:col>0</xdr:col>
      <xdr:colOff>589870</xdr:colOff>
      <xdr:row>73</xdr:row>
      <xdr:rowOff>110714</xdr:rowOff>
    </xdr:to>
    <xdr:pic>
      <xdr:nvPicPr>
        <xdr:cNvPr id="35" name="Kuva 3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3D2BAB1-2689-4BF7-A5F7-34C06C7DC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58" y="11482503"/>
          <a:ext cx="406702" cy="397394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91</xdr:row>
      <xdr:rowOff>76200</xdr:rowOff>
    </xdr:from>
    <xdr:to>
      <xdr:col>0</xdr:col>
      <xdr:colOff>571500</xdr:colOff>
      <xdr:row>93</xdr:row>
      <xdr:rowOff>114301</xdr:rowOff>
    </xdr:to>
    <xdr:pic>
      <xdr:nvPicPr>
        <xdr:cNvPr id="14" name="Kuva 13" descr="Tulostin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16F8E30-2E4D-4345-BC1A-953AF1250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209550" y="14716125"/>
          <a:ext cx="361950" cy="361951"/>
        </a:xfrm>
        <a:prstGeom prst="rect">
          <a:avLst/>
        </a:prstGeom>
      </xdr:spPr>
    </xdr:pic>
    <xdr:clientData/>
  </xdr:twoCellAnchor>
  <xdr:oneCellAnchor>
    <xdr:from>
      <xdr:col>0</xdr:col>
      <xdr:colOff>200891</xdr:colOff>
      <xdr:row>14</xdr:row>
      <xdr:rowOff>101490</xdr:rowOff>
    </xdr:from>
    <xdr:ext cx="406703" cy="396000"/>
    <xdr:pic>
      <xdr:nvPicPr>
        <xdr:cNvPr id="15" name="Kuva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73844A-7AA4-4F38-AC87-4D8628668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891" y="2354833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195958</xdr:colOff>
      <xdr:row>17</xdr:row>
      <xdr:rowOff>39985</xdr:rowOff>
    </xdr:from>
    <xdr:ext cx="406703" cy="396000"/>
    <xdr:pic>
      <xdr:nvPicPr>
        <xdr:cNvPr id="16" name="Kuva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1813534-6B04-4E2E-A52B-8D2615415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58" y="276685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192385</xdr:colOff>
      <xdr:row>29</xdr:row>
      <xdr:rowOff>166313</xdr:rowOff>
    </xdr:from>
    <xdr:ext cx="406703" cy="396000"/>
    <xdr:pic>
      <xdr:nvPicPr>
        <xdr:cNvPr id="17" name="Kuva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311D855-8D35-4193-9391-01EC503C3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385" y="5043113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196244</xdr:colOff>
      <xdr:row>27</xdr:row>
      <xdr:rowOff>94588</xdr:rowOff>
    </xdr:from>
    <xdr:ext cx="406702" cy="393278"/>
    <xdr:pic>
      <xdr:nvPicPr>
        <xdr:cNvPr id="18" name="Kuva 1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BD9E03E-38D3-4F16-9539-B3E97B771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44" y="4399888"/>
          <a:ext cx="406702" cy="393278"/>
        </a:xfrm>
        <a:prstGeom prst="rect">
          <a:avLst/>
        </a:prstGeom>
      </xdr:spPr>
    </xdr:pic>
    <xdr:clientData/>
  </xdr:oneCellAnchor>
  <xdr:oneCellAnchor>
    <xdr:from>
      <xdr:col>0</xdr:col>
      <xdr:colOff>202982</xdr:colOff>
      <xdr:row>19</xdr:row>
      <xdr:rowOff>127300</xdr:rowOff>
    </xdr:from>
    <xdr:ext cx="406703" cy="396000"/>
    <xdr:pic>
      <xdr:nvPicPr>
        <xdr:cNvPr id="19" name="Kuva 1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662F7C7-6C8F-4E52-8957-9FEE34C39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82" y="3169857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201603</xdr:colOff>
      <xdr:row>12</xdr:row>
      <xdr:rowOff>13952</xdr:rowOff>
    </xdr:from>
    <xdr:ext cx="406702" cy="396000"/>
    <xdr:pic>
      <xdr:nvPicPr>
        <xdr:cNvPr id="23" name="Kuva 2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76573279-655A-42C0-83AE-F69E3B232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03" y="1951609"/>
          <a:ext cx="406702" cy="396000"/>
        </a:xfrm>
        <a:prstGeom prst="rect">
          <a:avLst/>
        </a:prstGeom>
      </xdr:spPr>
    </xdr:pic>
    <xdr:clientData/>
  </xdr:oneCellAnchor>
  <xdr:oneCellAnchor>
    <xdr:from>
      <xdr:col>0</xdr:col>
      <xdr:colOff>209550</xdr:colOff>
      <xdr:row>32</xdr:row>
      <xdr:rowOff>141513</xdr:rowOff>
    </xdr:from>
    <xdr:ext cx="395999" cy="396000"/>
    <xdr:pic>
      <xdr:nvPicPr>
        <xdr:cNvPr id="24" name="Kuva 23" descr="Tulostin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8B19247E-452A-496D-BE33-FE27756FF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209550" y="5236027"/>
          <a:ext cx="395999" cy="396000"/>
        </a:xfrm>
        <a:prstGeom prst="rect">
          <a:avLst/>
        </a:prstGeom>
      </xdr:spPr>
    </xdr:pic>
    <xdr:clientData/>
  </xdr:oneCellAnchor>
  <xdr:twoCellAnchor editAs="oneCell">
    <xdr:from>
      <xdr:col>0</xdr:col>
      <xdr:colOff>166321</xdr:colOff>
      <xdr:row>81</xdr:row>
      <xdr:rowOff>64477</xdr:rowOff>
    </xdr:from>
    <xdr:to>
      <xdr:col>0</xdr:col>
      <xdr:colOff>573024</xdr:colOff>
      <xdr:row>83</xdr:row>
      <xdr:rowOff>132817</xdr:rowOff>
    </xdr:to>
    <xdr:pic>
      <xdr:nvPicPr>
        <xdr:cNvPr id="27" name="Kuva 26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5162546-04AF-41FF-B66B-74902393C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21" y="13011150"/>
          <a:ext cx="406703" cy="39453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83</xdr:row>
      <xdr:rowOff>142875</xdr:rowOff>
    </xdr:from>
    <xdr:to>
      <xdr:col>0</xdr:col>
      <xdr:colOff>587340</xdr:colOff>
      <xdr:row>86</xdr:row>
      <xdr:rowOff>60090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18D6DA13-A034-43A0-9ED3-0E5FC2D6D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3487400"/>
          <a:ext cx="417795" cy="4068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25</xdr:row>
      <xdr:rowOff>1</xdr:rowOff>
    </xdr:from>
    <xdr:to>
      <xdr:col>0</xdr:col>
      <xdr:colOff>586500</xdr:colOff>
      <xdr:row>27</xdr:row>
      <xdr:rowOff>80315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97585373-0E88-4547-8A31-10AECF6C88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989615"/>
          <a:ext cx="396000" cy="396000"/>
        </a:xfrm>
        <a:prstGeom prst="rect">
          <a:avLst/>
        </a:prstGeom>
      </xdr:spPr>
    </xdr:pic>
    <xdr:clientData/>
  </xdr:twoCellAnchor>
  <xdr:twoCellAnchor>
    <xdr:from>
      <xdr:col>0</xdr:col>
      <xdr:colOff>198783</xdr:colOff>
      <xdr:row>22</xdr:row>
      <xdr:rowOff>66732</xdr:rowOff>
    </xdr:from>
    <xdr:to>
      <xdr:col>0</xdr:col>
      <xdr:colOff>594783</xdr:colOff>
      <xdr:row>24</xdr:row>
      <xdr:rowOff>147047</xdr:rowOff>
    </xdr:to>
    <xdr:pic>
      <xdr:nvPicPr>
        <xdr:cNvPr id="34" name="Kuva 33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E3F3177-F07A-4846-94CE-EA55ADB9A5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783" y="3582818"/>
          <a:ext cx="396000" cy="396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16</xdr:col>
      <xdr:colOff>514350</xdr:colOff>
      <xdr:row>0</xdr:row>
      <xdr:rowOff>0</xdr:rowOff>
    </xdr:to>
    <xdr:pic>
      <xdr:nvPicPr>
        <xdr:cNvPr id="4973325" name="Kuva 12" descr="tulkki_vari2rivi.jpg">
          <a:extLst>
            <a:ext uri="{FF2B5EF4-FFF2-40B4-BE49-F238E27FC236}">
              <a16:creationId xmlns:a16="http://schemas.microsoft.com/office/drawing/2014/main" id="{00000000-0008-0000-0200-00000DE3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359683</xdr:colOff>
      <xdr:row>1</xdr:row>
      <xdr:rowOff>34017</xdr:rowOff>
    </xdr:from>
    <xdr:to>
      <xdr:col>11</xdr:col>
      <xdr:colOff>43544</xdr:colOff>
      <xdr:row>4</xdr:row>
      <xdr:rowOff>178798</xdr:rowOff>
    </xdr:to>
    <xdr:sp macro="" textlink="">
      <xdr:nvSpPr>
        <xdr:cNvPr id="21" name="AutoShape 189">
          <a:extLst>
            <a:ext uri="{FF2B5EF4-FFF2-40B4-BE49-F238E27FC236}">
              <a16:creationId xmlns:a16="http://schemas.microsoft.com/office/drawing/2014/main" id="{76107DF8-EA83-4062-9A59-4BE07A931617}"/>
            </a:ext>
          </a:extLst>
        </xdr:cNvPr>
        <xdr:cNvSpPr>
          <a:spLocks noChangeArrowheads="1"/>
        </xdr:cNvSpPr>
      </xdr:nvSpPr>
      <xdr:spPr bwMode="auto">
        <a:xfrm>
          <a:off x="4071712" y="191860"/>
          <a:ext cx="4593318" cy="754381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solidFill>
            <a:srgbClr val="FFC000"/>
          </a:solidFill>
          <a:round/>
          <a:headEnd/>
          <a:tailEnd/>
        </a:ln>
      </xdr:spPr>
      <xdr:txBody>
        <a:bodyPr vertOverflow="clip" wrap="square" lIns="72000" tIns="36000" rIns="36000" bIns="36000" anchor="t" anchorCtr="0" upright="1"/>
        <a:lstStyle/>
        <a:p>
          <a:pPr algn="l" rtl="0">
            <a:lnSpc>
              <a:spcPts val="1300"/>
            </a:lnSpc>
            <a:defRPr sz="1000"/>
          </a:pPr>
          <a:r>
            <a:rPr lang="fi-FI" sz="800" b="1" i="0" strike="noStrike">
              <a:solidFill>
                <a:srgbClr val="000000"/>
              </a:solidFill>
              <a:latin typeface="Arial"/>
              <a:cs typeface="Arial"/>
            </a:rPr>
            <a:t>OHJE 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Huomaa etumerkki. Lue solujen kommentit. </a:t>
          </a:r>
          <a:r>
            <a:rPr lang="fi-FI" sz="1050" b="1" i="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KIRJOITA RAHASUMMAT ILMAN SENTTEJÄ KOKONAISLUKUINA</a:t>
          </a:r>
          <a:r>
            <a:rPr lang="fi-FI" sz="1100" b="1" i="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fi-FI" sz="11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keltaisiin soluihin! </a:t>
          </a:r>
          <a:endParaRPr lang="fi-FI" sz="1100" b="1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  <xdr:twoCellAnchor editAs="oneCell">
    <xdr:from>
      <xdr:col>0</xdr:col>
      <xdr:colOff>101203</xdr:colOff>
      <xdr:row>10</xdr:row>
      <xdr:rowOff>113737</xdr:rowOff>
    </xdr:from>
    <xdr:to>
      <xdr:col>0</xdr:col>
      <xdr:colOff>515526</xdr:colOff>
      <xdr:row>13</xdr:row>
      <xdr:rowOff>60157</xdr:rowOff>
    </xdr:to>
    <xdr:pic>
      <xdr:nvPicPr>
        <xdr:cNvPr id="45" name="Kuva 4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8835EF6-AB96-4F25-9FCA-17599691E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03" y="1904437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96271</xdr:colOff>
      <xdr:row>13</xdr:row>
      <xdr:rowOff>64241</xdr:rowOff>
    </xdr:from>
    <xdr:to>
      <xdr:col>0</xdr:col>
      <xdr:colOff>514404</xdr:colOff>
      <xdr:row>16</xdr:row>
      <xdr:rowOff>3041</xdr:rowOff>
    </xdr:to>
    <xdr:pic>
      <xdr:nvPicPr>
        <xdr:cNvPr id="46" name="Kuva 4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E3EF514-EA23-47BE-B09B-A377457D0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71" y="2312141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97952</xdr:colOff>
      <xdr:row>25</xdr:row>
      <xdr:rowOff>292043</xdr:rowOff>
    </xdr:from>
    <xdr:to>
      <xdr:col>0</xdr:col>
      <xdr:colOff>516085</xdr:colOff>
      <xdr:row>28</xdr:row>
      <xdr:rowOff>95588</xdr:rowOff>
    </xdr:to>
    <xdr:pic>
      <xdr:nvPicPr>
        <xdr:cNvPr id="48" name="Kuva 4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DDBBB0D-8475-4BBA-9060-4B5F0BF76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52" y="4368743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99255</xdr:colOff>
      <xdr:row>18</xdr:row>
      <xdr:rowOff>123571</xdr:rowOff>
    </xdr:from>
    <xdr:to>
      <xdr:col>0</xdr:col>
      <xdr:colOff>511673</xdr:colOff>
      <xdr:row>21</xdr:row>
      <xdr:rowOff>54751</xdr:rowOff>
    </xdr:to>
    <xdr:pic>
      <xdr:nvPicPr>
        <xdr:cNvPr id="50" name="Kuva 4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CAA0298-D6D2-40EF-9B42-591849A11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55" y="3133471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16</xdr:row>
      <xdr:rowOff>20337</xdr:rowOff>
    </xdr:from>
    <xdr:to>
      <xdr:col>0</xdr:col>
      <xdr:colOff>511478</xdr:colOff>
      <xdr:row>18</xdr:row>
      <xdr:rowOff>111537</xdr:rowOff>
    </xdr:to>
    <xdr:pic>
      <xdr:nvPicPr>
        <xdr:cNvPr id="51" name="Kuva 5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DA1BD2A-6960-42A1-B887-09CD2908C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725437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102393</xdr:colOff>
      <xdr:row>21</xdr:row>
      <xdr:rowOff>81643</xdr:rowOff>
    </xdr:from>
    <xdr:to>
      <xdr:col>0</xdr:col>
      <xdr:colOff>516716</xdr:colOff>
      <xdr:row>24</xdr:row>
      <xdr:rowOff>18062</xdr:rowOff>
    </xdr:to>
    <xdr:pic>
      <xdr:nvPicPr>
        <xdr:cNvPr id="52" name="Kuva 5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26A99A47-20D3-43FB-A980-FA28FD8B8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93" y="3548743"/>
          <a:ext cx="406703" cy="393619"/>
        </a:xfrm>
        <a:prstGeom prst="rect">
          <a:avLst/>
        </a:prstGeom>
      </xdr:spPr>
    </xdr:pic>
    <xdr:clientData/>
  </xdr:twoCellAnchor>
  <xdr:twoCellAnchor editAs="oneCell">
    <xdr:from>
      <xdr:col>0</xdr:col>
      <xdr:colOff>94944</xdr:colOff>
      <xdr:row>24</xdr:row>
      <xdr:rowOff>25503</xdr:rowOff>
    </xdr:from>
    <xdr:to>
      <xdr:col>0</xdr:col>
      <xdr:colOff>512739</xdr:colOff>
      <xdr:row>25</xdr:row>
      <xdr:rowOff>287523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4BF3ECA-E484-445B-888F-FA6203ACA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44" y="3973769"/>
          <a:ext cx="417795" cy="408029"/>
        </a:xfrm>
        <a:prstGeom prst="rect">
          <a:avLst/>
        </a:prstGeom>
      </xdr:spPr>
    </xdr:pic>
    <xdr:clientData/>
  </xdr:twoCellAnchor>
  <xdr:twoCellAnchor editAs="oneCell">
    <xdr:from>
      <xdr:col>0</xdr:col>
      <xdr:colOff>92179</xdr:colOff>
      <xdr:row>8</xdr:row>
      <xdr:rowOff>30726</xdr:rowOff>
    </xdr:from>
    <xdr:to>
      <xdr:col>0</xdr:col>
      <xdr:colOff>517594</xdr:colOff>
      <xdr:row>10</xdr:row>
      <xdr:rowOff>98436</xdr:rowOff>
    </xdr:to>
    <xdr:pic>
      <xdr:nvPicPr>
        <xdr:cNvPr id="12" name="Kuva 1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315D20C6-5B9E-436D-9F1B-B1FC23E2F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79" y="1493274"/>
          <a:ext cx="417795" cy="408337"/>
        </a:xfrm>
        <a:prstGeom prst="rect">
          <a:avLst/>
        </a:prstGeom>
      </xdr:spPr>
    </xdr:pic>
    <xdr:clientData/>
  </xdr:twoCellAnchor>
  <xdr:twoCellAnchor editAs="oneCell">
    <xdr:from>
      <xdr:col>0</xdr:col>
      <xdr:colOff>124558</xdr:colOff>
      <xdr:row>28</xdr:row>
      <xdr:rowOff>117231</xdr:rowOff>
    </xdr:from>
    <xdr:to>
      <xdr:col>0</xdr:col>
      <xdr:colOff>475078</xdr:colOff>
      <xdr:row>31</xdr:row>
      <xdr:rowOff>17586</xdr:rowOff>
    </xdr:to>
    <xdr:pic>
      <xdr:nvPicPr>
        <xdr:cNvPr id="64" name="Kuva 63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900F715-DF88-4ADA-9E46-ED8A599B4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24558" y="4806462"/>
          <a:ext cx="361950" cy="361951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142875</xdr:colOff>
      <xdr:row>1</xdr:row>
      <xdr:rowOff>1</xdr:rowOff>
    </xdr:from>
    <xdr:to>
      <xdr:col>13</xdr:col>
      <xdr:colOff>284662</xdr:colOff>
      <xdr:row>3</xdr:row>
      <xdr:rowOff>54398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AFCAB2DE-2752-489A-8368-899AD441D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5" y="161926"/>
          <a:ext cx="1080000" cy="4115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8283</xdr:colOff>
      <xdr:row>72</xdr:row>
      <xdr:rowOff>43815</xdr:rowOff>
    </xdr:from>
    <xdr:to>
      <xdr:col>18</xdr:col>
      <xdr:colOff>621196</xdr:colOff>
      <xdr:row>98</xdr:row>
      <xdr:rowOff>163830</xdr:rowOff>
    </xdr:to>
    <xdr:graphicFrame macro="">
      <xdr:nvGraphicFramePr>
        <xdr:cNvPr id="5010635" name="Kaavio 3">
          <a:extLst>
            <a:ext uri="{FF2B5EF4-FFF2-40B4-BE49-F238E27FC236}">
              <a16:creationId xmlns:a16="http://schemas.microsoft.com/office/drawing/2014/main" id="{00000000-0008-0000-0600-0000CB744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3</xdr:col>
      <xdr:colOff>472498</xdr:colOff>
      <xdr:row>0</xdr:row>
      <xdr:rowOff>114645</xdr:rowOff>
    </xdr:from>
    <xdr:ext cx="9705975" cy="2124547"/>
    <xdr:sp macro="" textlink="">
      <xdr:nvSpPr>
        <xdr:cNvPr id="23" name="AutoShape 189">
          <a:extLst>
            <a:ext uri="{FF2B5EF4-FFF2-40B4-BE49-F238E27FC236}">
              <a16:creationId xmlns:a16="http://schemas.microsoft.com/office/drawing/2014/main" id="{7CC9D318-405D-4A9F-916D-B277280ADFAC}"/>
            </a:ext>
          </a:extLst>
        </xdr:cNvPr>
        <xdr:cNvSpPr>
          <a:spLocks noChangeArrowheads="1"/>
        </xdr:cNvSpPr>
      </xdr:nvSpPr>
      <xdr:spPr bwMode="auto">
        <a:xfrm>
          <a:off x="1724355" y="114645"/>
          <a:ext cx="9705975" cy="2124547"/>
        </a:xfrm>
        <a:prstGeom prst="foldedCorner">
          <a:avLst>
            <a:gd name="adj" fmla="val 12500"/>
          </a:avLst>
        </a:prstGeom>
        <a:solidFill>
          <a:srgbClr val="FFC000">
            <a:alpha val="88000"/>
          </a:srgbClr>
        </a:solidFill>
        <a:ln w="15875">
          <a:noFill/>
          <a:round/>
          <a:headEnd/>
          <a:tailEnd/>
        </a:ln>
      </xdr:spPr>
      <xdr:txBody>
        <a:bodyPr vertOverflow="clip" wrap="square" lIns="144000" tIns="36000" rIns="144000" bIns="0" anchor="ctr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i-FI" sz="800" b="1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OHJE </a:t>
          </a: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i-FI" sz="1000" b="1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- Voit tehdä kassabudjetin ensimmäiselle tai toiselle vuodelle. Huom.! Jos teet molemmille vuosille, tallenna toinen vuosi omaksi tiedostoksi.</a:t>
          </a: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i-FI" sz="1000" b="1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- Tärkeää! Arvioi käteis- ja laskutusmyynnin kuukausijakautuma prosentteina eli montako prosenttia on myynti eri kuukausina vuoden myynnistä (100%).</a:t>
          </a: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i-FI" sz="1000" b="1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- Mikäli myyt eri arvonlisäverokantoja, arvioi alv-% keskimäärin.</a:t>
          </a: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i-FI" sz="1000" b="1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- Korjaa lainanlyhennykset tarvittaessa. Ohjelma arvioi lainoja maksettavan tasaerälyhennyksinä kerran kuukaudessa </a:t>
          </a:r>
          <a:r>
            <a:rPr lang="fi-FI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(korko kohdassa 21. Rahoitusmenot).</a:t>
          </a:r>
          <a:r>
            <a:rPr lang="fi-FI" sz="1000" b="1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i-FI" sz="1000" b="1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- LISÄÄ KOHTAAN 4: T1 INVESTOINTISUUNNITELMAn kohdasta "14. Muu oma rahoitus", kaluston myyntitulot.</a:t>
          </a: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i-FI" sz="1000" b="1" i="0" baseline="0">
              <a:effectLst/>
              <a:latin typeface="Arial" panose="020B0604020202020204" pitchFamily="34" charset="0"/>
              <a:ea typeface="Tahoma" panose="020B0604030504040204" pitchFamily="34" charset="0"/>
              <a:cs typeface="Arial" panose="020B0604020202020204" pitchFamily="34" charset="0"/>
            </a:rPr>
            <a:t>- LISÄÄ KOHTAAN 7: T1 INVESTOINTISUUNNITELMAn kohdasta "6. Muut aineelliset hyödykkeet sis. alv" liiketoimintakaupan tavaravarasto. Huomioi alv-%.</a:t>
          </a:r>
          <a:endParaRPr lang="fi-FI" b="1">
            <a:effectLst/>
            <a:latin typeface="Arial" panose="020B0604020202020204" pitchFamily="34" charset="0"/>
            <a:ea typeface="Tahoma" panose="020B0604030504040204" pitchFamily="34" charset="0"/>
            <a:cs typeface="Arial" panose="020B0604020202020204" pitchFamily="34" charset="0"/>
          </a:endParaRPr>
        </a:p>
        <a:p>
          <a:pPr rtl="0" eaLnBrk="1" fontAlgn="auto" latinLnBrk="0" hangingPunct="1"/>
          <a:r>
            <a:rPr lang="fi-FI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LISÄÄ KOHTAAN 9: T1 INVESTOINTISUUNNTELMAsta sis. alv-investoinnit. Vähennä summasta leasingrahoitus.</a:t>
          </a:r>
          <a:endParaRPr lang="fi-FI" sz="1000" b="1" i="0" baseline="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 eaLnBrk="1" fontAlgn="auto" latinLnBrk="0" hangingPunct="1"/>
          <a:r>
            <a:rPr lang="fi-FI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LISÄÄ KOHTAAN 23: T1 INVESTOINTISUUNNTELMAsta alv 0 %-investoinnit. Vähennä summasta leasingrahoitus.</a:t>
          </a:r>
        </a:p>
        <a:p>
          <a:pPr rtl="0" eaLnBrk="1" fontAlgn="auto" latinLnBrk="0" hangingPunct="1"/>
          <a:r>
            <a:rPr lang="fi-FI" sz="1000" b="1" i="0" strike="noStrike" baseline="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LISÄÄ KOHTAAN 25: </a:t>
          </a:r>
          <a:r>
            <a:rPr lang="fi-FI" sz="1100" b="1" i="0" baseline="0">
              <a:effectLst/>
              <a:latin typeface="+mn-lt"/>
              <a:ea typeface="+mn-ea"/>
              <a:cs typeface="+mn-cs"/>
            </a:rPr>
            <a:t>T1 INVESTOINTISUUNNITELMAn kohdasta "8. Sijoitukset" liikehuoneisto-osakkeiden hankintahinta.</a:t>
          </a:r>
          <a:endParaRPr lang="fi-FI" sz="1000" b="1" i="0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i-FI" sz="1000" b="1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- LISÄÄ KOHTAAN 30: OSINGOT / YKSITYISOTOT.</a:t>
          </a:r>
        </a:p>
      </xdr:txBody>
    </xdr:sp>
    <xdr:clientData fLocksWithSheet="0" fPrintsWithSheet="0"/>
  </xdr:oneCellAnchor>
  <xdr:twoCellAnchor editAs="oneCell">
    <xdr:from>
      <xdr:col>0</xdr:col>
      <xdr:colOff>133350</xdr:colOff>
      <xdr:row>59</xdr:row>
      <xdr:rowOff>21772</xdr:rowOff>
    </xdr:from>
    <xdr:to>
      <xdr:col>0</xdr:col>
      <xdr:colOff>495300</xdr:colOff>
      <xdr:row>62</xdr:row>
      <xdr:rowOff>15513</xdr:rowOff>
    </xdr:to>
    <xdr:pic>
      <xdr:nvPicPr>
        <xdr:cNvPr id="25" name="Kuva 24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6CE7C99-D3D0-46F0-A559-4206A49A7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33350" y="8768443"/>
          <a:ext cx="361950" cy="364673"/>
        </a:xfrm>
        <a:prstGeom prst="rect">
          <a:avLst/>
        </a:prstGeom>
      </xdr:spPr>
    </xdr:pic>
    <xdr:clientData/>
  </xdr:twoCellAnchor>
  <xdr:twoCellAnchor editAs="oneCell">
    <xdr:from>
      <xdr:col>0</xdr:col>
      <xdr:colOff>110728</xdr:colOff>
      <xdr:row>38</xdr:row>
      <xdr:rowOff>142312</xdr:rowOff>
    </xdr:from>
    <xdr:to>
      <xdr:col>0</xdr:col>
      <xdr:colOff>510900</xdr:colOff>
      <xdr:row>41</xdr:row>
      <xdr:rowOff>59341</xdr:rowOff>
    </xdr:to>
    <xdr:pic>
      <xdr:nvPicPr>
        <xdr:cNvPr id="29" name="Kuva 2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88AAE6D-F2FD-4C94-BCBD-679E96B00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28" y="5962588"/>
          <a:ext cx="406703" cy="403520"/>
        </a:xfrm>
        <a:prstGeom prst="rect">
          <a:avLst/>
        </a:prstGeom>
      </xdr:spPr>
    </xdr:pic>
    <xdr:clientData/>
  </xdr:twoCellAnchor>
  <xdr:twoCellAnchor editAs="oneCell">
    <xdr:from>
      <xdr:col>0</xdr:col>
      <xdr:colOff>105796</xdr:colOff>
      <xdr:row>41</xdr:row>
      <xdr:rowOff>121391</xdr:rowOff>
    </xdr:from>
    <xdr:to>
      <xdr:col>0</xdr:col>
      <xdr:colOff>511410</xdr:colOff>
      <xdr:row>44</xdr:row>
      <xdr:rowOff>39236</xdr:rowOff>
    </xdr:to>
    <xdr:pic>
      <xdr:nvPicPr>
        <xdr:cNvPr id="30" name="Kuva 2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D910E40-59B1-4C28-80E1-BBD02B516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96" y="6341216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109158</xdr:colOff>
      <xdr:row>53</xdr:row>
      <xdr:rowOff>110916</xdr:rowOff>
    </xdr:from>
    <xdr:to>
      <xdr:col>0</xdr:col>
      <xdr:colOff>516949</xdr:colOff>
      <xdr:row>56</xdr:row>
      <xdr:rowOff>53525</xdr:rowOff>
    </xdr:to>
    <xdr:pic>
      <xdr:nvPicPr>
        <xdr:cNvPr id="32" name="Kuva 3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2C363E8-85DA-4274-8757-653237B13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58" y="7988091"/>
          <a:ext cx="406702" cy="393278"/>
        </a:xfrm>
        <a:prstGeom prst="rect">
          <a:avLst/>
        </a:prstGeom>
      </xdr:spPr>
    </xdr:pic>
    <xdr:clientData/>
  </xdr:twoCellAnchor>
  <xdr:twoCellAnchor editAs="oneCell">
    <xdr:from>
      <xdr:col>0</xdr:col>
      <xdr:colOff>108780</xdr:colOff>
      <xdr:row>47</xdr:row>
      <xdr:rowOff>85471</xdr:rowOff>
    </xdr:from>
    <xdr:to>
      <xdr:col>0</xdr:col>
      <xdr:colOff>516572</xdr:colOff>
      <xdr:row>50</xdr:row>
      <xdr:rowOff>1411</xdr:rowOff>
    </xdr:to>
    <xdr:pic>
      <xdr:nvPicPr>
        <xdr:cNvPr id="33" name="Kuva 3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6A15AD3-44D1-4EDA-811E-44B2B86F4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80" y="7162546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44</xdr:row>
      <xdr:rowOff>106062</xdr:rowOff>
    </xdr:from>
    <xdr:to>
      <xdr:col>0</xdr:col>
      <xdr:colOff>518009</xdr:colOff>
      <xdr:row>47</xdr:row>
      <xdr:rowOff>22818</xdr:rowOff>
    </xdr:to>
    <xdr:pic>
      <xdr:nvPicPr>
        <xdr:cNvPr id="34" name="Kuva 3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47397F84-7D34-4790-B869-B65E15670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6754512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111918</xdr:colOff>
      <xdr:row>50</xdr:row>
      <xdr:rowOff>34018</xdr:rowOff>
    </xdr:from>
    <xdr:to>
      <xdr:col>0</xdr:col>
      <xdr:colOff>517532</xdr:colOff>
      <xdr:row>53</xdr:row>
      <xdr:rowOff>96439</xdr:rowOff>
    </xdr:to>
    <xdr:pic>
      <xdr:nvPicPr>
        <xdr:cNvPr id="35" name="Kuva 34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B1E6B67-3930-4A16-B845-CCEECC396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18" y="7577818"/>
          <a:ext cx="406703" cy="393619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103415</xdr:colOff>
      <xdr:row>36</xdr:row>
      <xdr:rowOff>21772</xdr:rowOff>
    </xdr:from>
    <xdr:to>
      <xdr:col>0</xdr:col>
      <xdr:colOff>512501</xdr:colOff>
      <xdr:row>38</xdr:row>
      <xdr:rowOff>97646</xdr:rowOff>
    </xdr:to>
    <xdr:pic>
      <xdr:nvPicPr>
        <xdr:cNvPr id="4" name="Kuva 3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B9DABBCA-AA15-47CE-B705-DEAB50368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5" y="5529943"/>
          <a:ext cx="417795" cy="40407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56</xdr:row>
      <xdr:rowOff>78921</xdr:rowOff>
    </xdr:from>
    <xdr:to>
      <xdr:col>0</xdr:col>
      <xdr:colOff>511957</xdr:colOff>
      <xdr:row>59</xdr:row>
      <xdr:rowOff>16275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58575C09-714E-48FE-B065-2E5F0D908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8362950"/>
          <a:ext cx="417795" cy="402717"/>
        </a:xfrm>
        <a:prstGeom prst="rect">
          <a:avLst/>
        </a:prstGeom>
      </xdr:spPr>
    </xdr:pic>
    <xdr:clientData/>
  </xdr:twoCellAnchor>
  <xdr:twoCellAnchor editAs="oneCell">
    <xdr:from>
      <xdr:col>17</xdr:col>
      <xdr:colOff>191144</xdr:colOff>
      <xdr:row>11</xdr:row>
      <xdr:rowOff>27281</xdr:rowOff>
    </xdr:from>
    <xdr:to>
      <xdr:col>18</xdr:col>
      <xdr:colOff>664360</xdr:colOff>
      <xdr:row>14</xdr:row>
      <xdr:rowOff>544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4337E329-CF0D-4F4C-9DEF-85335FFC4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0744" y="2427581"/>
          <a:ext cx="1228081" cy="468019"/>
        </a:xfrm>
        <a:prstGeom prst="rect">
          <a:avLst/>
        </a:prstGeom>
      </xdr:spPr>
    </xdr:pic>
    <xdr:clientData/>
  </xdr:twoCellAnchor>
  <xdr:twoCellAnchor editAs="oneCell">
    <xdr:from>
      <xdr:col>17</xdr:col>
      <xdr:colOff>176213</xdr:colOff>
      <xdr:row>66</xdr:row>
      <xdr:rowOff>114300</xdr:rowOff>
    </xdr:from>
    <xdr:to>
      <xdr:col>19</xdr:col>
      <xdr:colOff>15821</xdr:colOff>
      <xdr:row>70</xdr:row>
      <xdr:rowOff>1294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7B3CD94A-BDD7-4279-AC43-A0312E06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5813" y="10701338"/>
          <a:ext cx="1228081" cy="4680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ropbox\Yritystulkki\YT%20Uusimmat%20Yleiset\Arkisto\YT6%20Aloittavan%20yrityksen%20tulossuunnitelma%202021%202012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HJE"/>
      <sheetName val="1. T1 INVESTOINTISUUN."/>
      <sheetName val="AT Kassa"/>
      <sheetName val="2. T7 LAINAT"/>
      <sheetName val="3. E1 KUSTANNUKSET"/>
      <sheetName val="4. E2 LIIKEVAIHTO"/>
      <sheetName val="AT1 Avustus, alv"/>
      <sheetName val="AT2 Lainat, sotum, alv"/>
      <sheetName val="5. T4 RAHOITUSSUUN."/>
      <sheetName val="6. T3 TASE"/>
      <sheetName val="7. T2 TULOSSUUN."/>
      <sheetName val="8. T5 KASSABUDJETTI"/>
      <sheetName val="Tulostussivu"/>
      <sheetName val="Kaavi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1:P47"/>
  <sheetViews>
    <sheetView showGridLines="0" tabSelected="1" zoomScaleNormal="100" workbookViewId="0">
      <selection activeCell="I12" sqref="I12"/>
    </sheetView>
  </sheetViews>
  <sheetFormatPr defaultRowHeight="13.2" x14ac:dyDescent="0.25"/>
  <cols>
    <col min="1" max="1" width="3.88671875" customWidth="1"/>
    <col min="2" max="2" width="8" style="32" customWidth="1"/>
    <col min="3" max="3" width="2.5546875" style="32" customWidth="1"/>
    <col min="4" max="4" width="40.88671875" customWidth="1"/>
    <col min="5" max="5" width="23.88671875" customWidth="1"/>
    <col min="6" max="6" width="16.33203125" customWidth="1"/>
    <col min="7" max="7" width="36.33203125" customWidth="1"/>
  </cols>
  <sheetData>
    <row r="1" spans="2:13" ht="7.5" customHeight="1" x14ac:dyDescent="0.25"/>
    <row r="2" spans="2:13" ht="5.25" customHeight="1" x14ac:dyDescent="0.25">
      <c r="H2" s="73"/>
    </row>
    <row r="3" spans="2:13" ht="5.25" customHeight="1" x14ac:dyDescent="0.25"/>
    <row r="4" spans="2:13" hidden="1" x14ac:dyDescent="0.25"/>
    <row r="5" spans="2:13" ht="27.75" customHeight="1" x14ac:dyDescent="0.25">
      <c r="B5" s="1900" t="s">
        <v>0</v>
      </c>
      <c r="C5" s="1901"/>
      <c r="D5" s="1901"/>
      <c r="E5" s="1901"/>
    </row>
    <row r="6" spans="2:13" ht="27.75" customHeight="1" x14ac:dyDescent="0.25">
      <c r="B6" s="1746"/>
      <c r="C6" s="1747"/>
      <c r="D6" s="1747"/>
      <c r="E6" s="1747"/>
      <c r="F6" s="1904" t="s">
        <v>1</v>
      </c>
      <c r="G6" s="1904"/>
    </row>
    <row r="7" spans="2:13" ht="12.75" customHeight="1" x14ac:dyDescent="0.25">
      <c r="B7" s="588"/>
      <c r="C7" s="588"/>
      <c r="D7" s="535"/>
      <c r="F7" s="1904"/>
      <c r="G7" s="1904"/>
    </row>
    <row r="8" spans="2:13" ht="30" customHeight="1" x14ac:dyDescent="0.25">
      <c r="E8" s="509"/>
      <c r="G8" s="1899" t="s">
        <v>2</v>
      </c>
      <c r="H8" s="535"/>
    </row>
    <row r="9" spans="2:13" ht="12.75" customHeight="1" x14ac:dyDescent="0.25">
      <c r="G9" s="1899"/>
    </row>
    <row r="10" spans="2:13" ht="30" customHeight="1" x14ac:dyDescent="0.25">
      <c r="B10" s="588" t="s">
        <v>3</v>
      </c>
      <c r="E10" s="509"/>
      <c r="G10" s="535"/>
    </row>
    <row r="11" spans="2:13" ht="12.75" customHeight="1" x14ac:dyDescent="0.25">
      <c r="F11" s="1903"/>
      <c r="G11" s="1903"/>
      <c r="M11" s="535"/>
    </row>
    <row r="12" spans="2:13" ht="30" customHeight="1" x14ac:dyDescent="0.25">
      <c r="E12" s="509"/>
      <c r="M12" s="1832"/>
    </row>
    <row r="13" spans="2:13" ht="12.75" customHeight="1" x14ac:dyDescent="0.25"/>
    <row r="14" spans="2:13" ht="30" customHeight="1" x14ac:dyDescent="0.25">
      <c r="E14" s="509"/>
      <c r="K14" s="1832"/>
    </row>
    <row r="15" spans="2:13" ht="12.75" customHeight="1" x14ac:dyDescent="0.25"/>
    <row r="16" spans="2:13" ht="30" customHeight="1" x14ac:dyDescent="0.25">
      <c r="E16" s="509"/>
    </row>
    <row r="17" spans="2:16" ht="12.75" customHeight="1" x14ac:dyDescent="0.25"/>
    <row r="18" spans="2:16" ht="30" customHeight="1" x14ac:dyDescent="0.25">
      <c r="E18" s="509"/>
    </row>
    <row r="19" spans="2:16" ht="12.75" customHeight="1" x14ac:dyDescent="0.25"/>
    <row r="20" spans="2:16" ht="30" customHeight="1" x14ac:dyDescent="0.25">
      <c r="E20" s="509"/>
    </row>
    <row r="21" spans="2:16" ht="12.75" customHeight="1" x14ac:dyDescent="0.25">
      <c r="E21" s="535"/>
    </row>
    <row r="22" spans="2:16" ht="30" customHeight="1" x14ac:dyDescent="0.25">
      <c r="E22" s="509"/>
    </row>
    <row r="23" spans="2:16" ht="12.75" customHeight="1" x14ac:dyDescent="0.25">
      <c r="B23" s="588"/>
      <c r="C23" s="588"/>
      <c r="G23" s="121"/>
    </row>
    <row r="24" spans="2:16" ht="10.5" customHeight="1" x14ac:dyDescent="0.25">
      <c r="E24" s="509"/>
      <c r="F24" s="40"/>
      <c r="G24" s="510"/>
      <c r="H24" s="40"/>
      <c r="I24" s="40"/>
    </row>
    <row r="25" spans="2:16" x14ac:dyDescent="0.25">
      <c r="G25" s="121"/>
      <c r="M25" s="535" t="s">
        <v>4</v>
      </c>
    </row>
    <row r="26" spans="2:16" x14ac:dyDescent="0.25">
      <c r="G26" s="121"/>
    </row>
    <row r="27" spans="2:16" x14ac:dyDescent="0.25">
      <c r="G27" s="121"/>
      <c r="P27" t="s">
        <v>3</v>
      </c>
    </row>
    <row r="28" spans="2:16" x14ac:dyDescent="0.25">
      <c r="E28" s="76"/>
      <c r="G28" s="1748"/>
    </row>
    <row r="29" spans="2:16" x14ac:dyDescent="0.25">
      <c r="G29" s="40"/>
    </row>
    <row r="30" spans="2:16" x14ac:dyDescent="0.25">
      <c r="B30" s="1902"/>
      <c r="C30" s="1902"/>
      <c r="D30" s="1902"/>
      <c r="E30" s="1902"/>
    </row>
    <row r="31" spans="2:16" x14ac:dyDescent="0.25">
      <c r="B31" s="1902"/>
      <c r="C31" s="1902"/>
      <c r="D31" s="1902"/>
      <c r="E31" s="1902"/>
    </row>
    <row r="32" spans="2:16" ht="5.85" customHeight="1" x14ac:dyDescent="0.25">
      <c r="B32" s="1902"/>
      <c r="C32" s="1902"/>
      <c r="D32" s="1902"/>
      <c r="E32" s="1902"/>
    </row>
    <row r="33" spans="4:7" x14ac:dyDescent="0.25">
      <c r="D33" s="40"/>
      <c r="G33" s="121" t="s">
        <v>5</v>
      </c>
    </row>
    <row r="34" spans="4:7" x14ac:dyDescent="0.25">
      <c r="D34" s="40"/>
      <c r="G34" s="1290" t="s">
        <v>6</v>
      </c>
    </row>
    <row r="38" spans="4:7" x14ac:dyDescent="0.25">
      <c r="D38" s="13"/>
      <c r="E38" s="13"/>
    </row>
    <row r="47" spans="4:7" x14ac:dyDescent="0.25">
      <c r="D47" s="457" t="s">
        <v>3</v>
      </c>
    </row>
  </sheetData>
  <sheetProtection algorithmName="SHA-512" hashValue="QAA1Rhrq2VLRNVHUOYHxgC+1vfww2mXmmtddNsrUStsRUukYuJLfjyl5Y27H8eMmcoEIBWaNcYcVOTs9XkM1lA==" saltValue="1K4+yyAvXOIKzym+GryIaA==" spinCount="100000" sheet="1" objects="1" scenarios="1" selectLockedCells="1" selectUnlockedCells="1"/>
  <mergeCells count="7">
    <mergeCell ref="G8:G9"/>
    <mergeCell ref="B5:E5"/>
    <mergeCell ref="B30:E30"/>
    <mergeCell ref="B31:E31"/>
    <mergeCell ref="B32:E32"/>
    <mergeCell ref="F11:G11"/>
    <mergeCell ref="F6:G7"/>
  </mergeCells>
  <pageMargins left="0.70866141732283472" right="0.70866141732283472" top="0.55118110236220474" bottom="0.55118110236220474" header="0.31496062992125984" footer="0.31496062992125984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152A1"/>
  </sheetPr>
  <dimension ref="A1:S106"/>
  <sheetViews>
    <sheetView showGridLines="0" showZeros="0" defaultGridColor="0" colorId="23" zoomScaleNormal="100" zoomScalePageLayoutView="85" workbookViewId="0">
      <selection activeCell="E17" sqref="E17"/>
    </sheetView>
  </sheetViews>
  <sheetFormatPr defaultRowHeight="13.2" x14ac:dyDescent="0.25"/>
  <cols>
    <col min="1" max="1" width="11.33203125" style="32" customWidth="1"/>
    <col min="2" max="2" width="3.33203125" customWidth="1"/>
    <col min="3" max="3" width="21.109375" customWidth="1"/>
    <col min="4" max="4" width="10" customWidth="1"/>
    <col min="5" max="5" width="5.109375" customWidth="1"/>
    <col min="6" max="10" width="10.6640625" customWidth="1"/>
    <col min="11" max="11" width="2.6640625" customWidth="1"/>
    <col min="12" max="19" width="11.6640625" customWidth="1"/>
  </cols>
  <sheetData>
    <row r="1" spans="1:19" x14ac:dyDescent="0.25">
      <c r="A1" s="588" t="s">
        <v>3</v>
      </c>
    </row>
    <row r="2" spans="1:19" ht="15.6" x14ac:dyDescent="0.3">
      <c r="B2" s="1922" t="s">
        <v>446</v>
      </c>
      <c r="C2" s="1922"/>
      <c r="D2" s="19"/>
      <c r="F2" s="1756"/>
      <c r="J2" s="49"/>
      <c r="L2" s="1807" t="s">
        <v>447</v>
      </c>
      <c r="M2" s="19"/>
    </row>
    <row r="3" spans="1:19" x14ac:dyDescent="0.25">
      <c r="B3" s="1922"/>
      <c r="C3" s="1922"/>
      <c r="F3" s="596"/>
      <c r="L3" s="1925"/>
      <c r="M3" s="1925"/>
    </row>
    <row r="4" spans="1:19" x14ac:dyDescent="0.25">
      <c r="B4" s="32"/>
      <c r="G4" s="73">
        <v>0</v>
      </c>
    </row>
    <row r="5" spans="1:19" x14ac:dyDescent="0.25">
      <c r="B5" s="1782" t="s">
        <v>10</v>
      </c>
      <c r="C5" s="597"/>
      <c r="D5" s="597"/>
      <c r="E5" s="597"/>
      <c r="F5" s="597" t="s">
        <v>8</v>
      </c>
      <c r="G5" s="597"/>
      <c r="H5" s="41"/>
      <c r="I5" s="597"/>
      <c r="J5" s="597"/>
      <c r="K5" s="34"/>
      <c r="L5" s="1872"/>
      <c r="M5" s="1873"/>
      <c r="N5" s="414"/>
      <c r="O5" s="1873"/>
      <c r="P5" s="1873"/>
      <c r="Q5" s="1873"/>
      <c r="R5" s="1873"/>
      <c r="S5" s="1874"/>
    </row>
    <row r="6" spans="1:19" x14ac:dyDescent="0.25">
      <c r="B6" s="1783">
        <f>'7. T2 TULOSSUUN.'!B5</f>
        <v>0</v>
      </c>
      <c r="C6" s="214"/>
      <c r="D6" s="214"/>
      <c r="E6" s="41"/>
      <c r="F6" s="607">
        <f>'1. T1 INVESTOINTISUUN.'!F4</f>
        <v>0</v>
      </c>
      <c r="G6" s="2092"/>
      <c r="H6" s="2092"/>
      <c r="I6" s="2092"/>
      <c r="J6" s="2092"/>
      <c r="L6" s="415" t="s">
        <v>448</v>
      </c>
      <c r="M6" s="1205"/>
      <c r="N6" s="340"/>
      <c r="O6" s="1205"/>
      <c r="P6" s="1205"/>
      <c r="Q6" s="1205"/>
      <c r="R6" s="1205"/>
      <c r="S6" s="1875"/>
    </row>
    <row r="7" spans="1:19" x14ac:dyDescent="0.25">
      <c r="B7" s="1782"/>
      <c r="C7" s="597"/>
      <c r="D7" s="597"/>
      <c r="E7" s="597"/>
      <c r="F7" s="597"/>
      <c r="G7" s="597"/>
      <c r="H7" s="41"/>
      <c r="I7" s="597"/>
      <c r="J7" s="597"/>
      <c r="K7" s="34"/>
      <c r="L7" s="1876"/>
      <c r="M7" s="1205"/>
      <c r="N7" s="340"/>
      <c r="O7" s="1205"/>
      <c r="P7" s="1205"/>
      <c r="Q7" s="1205"/>
      <c r="R7" s="1205"/>
      <c r="S7" s="1875"/>
    </row>
    <row r="8" spans="1:19" x14ac:dyDescent="0.25">
      <c r="B8" s="2096"/>
      <c r="C8" s="2096"/>
      <c r="D8" s="1877"/>
      <c r="E8" s="1877"/>
      <c r="F8" s="1877"/>
      <c r="G8" s="1878"/>
      <c r="H8" s="41"/>
      <c r="I8" s="41"/>
      <c r="J8" s="41"/>
      <c r="L8" s="1876"/>
      <c r="M8" s="1205"/>
      <c r="N8" s="341"/>
      <c r="O8" s="1205"/>
      <c r="P8" s="1205"/>
      <c r="Q8" s="1205"/>
      <c r="R8" s="1205"/>
      <c r="S8" s="1875"/>
    </row>
    <row r="9" spans="1:19" ht="13.8" thickBot="1" x14ac:dyDescent="0.3">
      <c r="B9" s="32"/>
      <c r="L9" s="1876"/>
      <c r="M9" s="1205"/>
      <c r="N9" s="1205"/>
      <c r="O9" s="1205"/>
      <c r="P9" s="1205"/>
      <c r="Q9" s="1205"/>
      <c r="R9" s="1205"/>
      <c r="S9" s="1875"/>
    </row>
    <row r="10" spans="1:19" ht="12.75" customHeight="1" x14ac:dyDescent="0.25">
      <c r="B10" s="1326"/>
      <c r="C10" s="1327"/>
      <c r="D10" s="1327"/>
      <c r="E10" s="1328"/>
      <c r="F10" s="1341"/>
      <c r="G10" s="1341" t="str">
        <f>'1. T1 INVESTOINTISUUN.'!E15</f>
        <v>Ennuste 1</v>
      </c>
      <c r="H10" s="1341" t="str">
        <f>'4. E2 LIIKEVAIHTO'!F7</f>
        <v>Ennuste 2</v>
      </c>
      <c r="I10" s="1353" t="str">
        <f>'4. E2 LIIKEVAIHTO'!G7</f>
        <v>Ennuste 3</v>
      </c>
      <c r="J10" s="1342" t="s">
        <v>22</v>
      </c>
      <c r="L10" s="2086" t="s">
        <v>449</v>
      </c>
      <c r="M10" s="2087"/>
      <c r="N10" s="2087"/>
      <c r="O10" s="2087"/>
      <c r="P10" s="2087"/>
      <c r="Q10" s="2087"/>
      <c r="R10" s="2087"/>
      <c r="S10" s="2088"/>
    </row>
    <row r="11" spans="1:19" ht="12.75" customHeight="1" x14ac:dyDescent="0.25">
      <c r="A11" s="41"/>
      <c r="B11" s="2101" t="s">
        <v>449</v>
      </c>
      <c r="C11" s="2102"/>
      <c r="D11" s="2102"/>
      <c r="E11" s="2103"/>
      <c r="F11" s="1344"/>
      <c r="G11" s="1319">
        <f>'4. E2 LIIKEVAIHTO'!E8</f>
        <v>2024</v>
      </c>
      <c r="H11" s="1319">
        <f>'4. E2 LIIKEVAIHTO'!F8</f>
        <v>2025</v>
      </c>
      <c r="I11" s="1354">
        <f>'4. E2 LIIKEVAIHTO'!G8</f>
        <v>2026</v>
      </c>
      <c r="J11" s="1324">
        <f>'1. T1 INVESTOINTISUUN.'!H16</f>
        <v>2027</v>
      </c>
      <c r="L11" s="328"/>
      <c r="M11" s="262"/>
      <c r="N11" s="262"/>
      <c r="O11" s="262"/>
      <c r="P11" s="262"/>
      <c r="Q11" s="262"/>
      <c r="R11" s="262"/>
      <c r="S11" s="382"/>
    </row>
    <row r="12" spans="1:19" ht="12.75" customHeight="1" thickBot="1" x14ac:dyDescent="0.3">
      <c r="A12"/>
      <c r="B12" s="1355"/>
      <c r="C12" s="1356"/>
      <c r="D12" s="1356"/>
      <c r="E12" s="1357"/>
      <c r="F12" s="1358"/>
      <c r="G12" s="1359" t="s">
        <v>117</v>
      </c>
      <c r="H12" s="1359" t="s">
        <v>117</v>
      </c>
      <c r="I12" s="1360" t="s">
        <v>117</v>
      </c>
      <c r="J12" s="1361" t="s">
        <v>117</v>
      </c>
      <c r="L12" s="328"/>
      <c r="M12" s="262" t="s">
        <v>3</v>
      </c>
      <c r="N12" s="262"/>
      <c r="O12" s="262"/>
      <c r="P12" s="262"/>
      <c r="Q12" s="262"/>
      <c r="R12" s="262"/>
      <c r="S12" s="382"/>
    </row>
    <row r="13" spans="1:19" x14ac:dyDescent="0.25">
      <c r="A13" s="5"/>
      <c r="B13" s="476" t="s">
        <v>450</v>
      </c>
      <c r="C13" s="598" t="s">
        <v>451</v>
      </c>
      <c r="D13" s="598"/>
      <c r="E13" s="599"/>
      <c r="F13" s="647"/>
      <c r="G13" s="1089">
        <f>G14+G18+G34</f>
        <v>0</v>
      </c>
      <c r="H13" s="1089">
        <f>H14+H18+H34</f>
        <v>0</v>
      </c>
      <c r="I13" s="1089">
        <f>I14+I18+I34</f>
        <v>0</v>
      </c>
      <c r="J13" s="1090">
        <f>J14+J18+J34</f>
        <v>0</v>
      </c>
      <c r="L13" s="328"/>
      <c r="M13" s="262"/>
      <c r="N13" s="262"/>
      <c r="O13" s="262"/>
      <c r="P13" s="262"/>
      <c r="Q13" s="262"/>
      <c r="R13" s="262"/>
      <c r="S13" s="382"/>
    </row>
    <row r="14" spans="1:19" x14ac:dyDescent="0.25">
      <c r="A14" s="207"/>
      <c r="B14" s="470" t="s">
        <v>452</v>
      </c>
      <c r="C14" s="169" t="s">
        <v>453</v>
      </c>
      <c r="D14" s="169"/>
      <c r="E14" s="170"/>
      <c r="F14" s="648"/>
      <c r="G14" s="1091">
        <f>G15-G16-G17</f>
        <v>0</v>
      </c>
      <c r="H14" s="1091">
        <f>G14+H15-H16-H17</f>
        <v>0</v>
      </c>
      <c r="I14" s="1092">
        <f>H14+I15-I16-I17</f>
        <v>0</v>
      </c>
      <c r="J14" s="1093">
        <f>I14+J15-J16-J17</f>
        <v>0</v>
      </c>
      <c r="L14" s="328"/>
      <c r="M14" s="262"/>
      <c r="N14" s="262"/>
      <c r="O14" s="262"/>
      <c r="P14" s="262"/>
      <c r="Q14" s="262"/>
      <c r="R14" s="262"/>
      <c r="S14" s="382"/>
    </row>
    <row r="15" spans="1:19" x14ac:dyDescent="0.25">
      <c r="B15" s="471" t="s">
        <v>3</v>
      </c>
      <c r="C15" s="183" t="s">
        <v>454</v>
      </c>
      <c r="D15" s="183"/>
      <c r="E15" s="184" t="s">
        <v>345</v>
      </c>
      <c r="F15" s="630"/>
      <c r="G15" s="1085">
        <f>'AT1 Avustus, alv'!E47</f>
        <v>0</v>
      </c>
      <c r="H15" s="1768">
        <f>'AT1 Avustus, alv'!F47</f>
        <v>0</v>
      </c>
      <c r="I15" s="747">
        <f>'AT1 Avustus, alv'!G47</f>
        <v>0</v>
      </c>
      <c r="J15" s="618">
        <f>'AT1 Avustus, alv'!H47</f>
        <v>0</v>
      </c>
      <c r="L15" s="2083" t="s">
        <v>455</v>
      </c>
      <c r="M15" s="2084"/>
      <c r="N15" s="2084"/>
      <c r="O15" s="2084"/>
      <c r="P15" s="262"/>
      <c r="Q15" s="262"/>
      <c r="R15" s="262"/>
      <c r="S15" s="382"/>
    </row>
    <row r="16" spans="1:19" x14ac:dyDescent="0.25">
      <c r="A16" s="207"/>
      <c r="B16" s="471" t="s">
        <v>3</v>
      </c>
      <c r="C16" s="183" t="s">
        <v>456</v>
      </c>
      <c r="D16" s="183"/>
      <c r="E16" s="185" t="s">
        <v>422</v>
      </c>
      <c r="F16" s="630"/>
      <c r="G16" s="890">
        <v>0</v>
      </c>
      <c r="H16" s="609"/>
      <c r="I16" s="1094"/>
      <c r="J16" s="1086"/>
      <c r="L16" s="354">
        <f>G$11</f>
        <v>2024</v>
      </c>
      <c r="M16" s="354">
        <f>H$11</f>
        <v>2025</v>
      </c>
      <c r="N16" s="354">
        <f>I$11</f>
        <v>2026</v>
      </c>
      <c r="O16" s="354">
        <f>J$11</f>
        <v>2027</v>
      </c>
      <c r="P16" s="262"/>
      <c r="Q16" s="262"/>
      <c r="R16" s="262"/>
      <c r="S16" s="382"/>
    </row>
    <row r="17" spans="1:19" x14ac:dyDescent="0.25">
      <c r="A17" s="207"/>
      <c r="B17" s="471"/>
      <c r="C17" s="153" t="s">
        <v>457</v>
      </c>
      <c r="D17" s="168" t="s">
        <v>458</v>
      </c>
      <c r="E17" s="182">
        <v>0.2</v>
      </c>
      <c r="F17" s="630"/>
      <c r="G17" s="348">
        <f>(F14+G15*L17/12-G16)*$E17</f>
        <v>0</v>
      </c>
      <c r="H17" s="348">
        <f>(G14+H15*M17/12-H16)*$E$17</f>
        <v>0</v>
      </c>
      <c r="I17" s="348">
        <f>(H14+I15*N17/12-I16)*$E$17</f>
        <v>0</v>
      </c>
      <c r="J17" s="871">
        <f>(I14+J15*O17/12-J16)*$E$17</f>
        <v>0</v>
      </c>
      <c r="L17" s="355">
        <v>12</v>
      </c>
      <c r="M17" s="355">
        <v>12</v>
      </c>
      <c r="N17" s="355">
        <v>12</v>
      </c>
      <c r="O17" s="355">
        <v>12</v>
      </c>
      <c r="P17" s="262"/>
      <c r="Q17" s="262"/>
      <c r="R17" s="262"/>
      <c r="S17" s="382"/>
    </row>
    <row r="18" spans="1:19" x14ac:dyDescent="0.25">
      <c r="A18" s="207"/>
      <c r="B18" s="470" t="s">
        <v>459</v>
      </c>
      <c r="C18" s="408" t="s">
        <v>460</v>
      </c>
      <c r="D18" s="408"/>
      <c r="E18" s="518"/>
      <c r="F18" s="649"/>
      <c r="G18" s="992">
        <f>G19+G22+G26+G30</f>
        <v>0</v>
      </c>
      <c r="H18" s="992">
        <f>H19+H22+H26+H30</f>
        <v>0</v>
      </c>
      <c r="I18" s="1095">
        <f>I19+I22+I26+I30</f>
        <v>0</v>
      </c>
      <c r="J18" s="1096">
        <f>J19+J22+J26+J30</f>
        <v>0</v>
      </c>
      <c r="L18" s="328"/>
      <c r="M18" s="262"/>
      <c r="N18" s="262"/>
      <c r="O18" s="262"/>
      <c r="P18" s="262"/>
      <c r="Q18" s="262"/>
      <c r="R18" s="262"/>
      <c r="S18" s="382"/>
    </row>
    <row r="19" spans="1:19" x14ac:dyDescent="0.25">
      <c r="B19" s="471" t="s">
        <v>3</v>
      </c>
      <c r="C19" s="516" t="s">
        <v>461</v>
      </c>
      <c r="D19" s="516"/>
      <c r="E19" s="517"/>
      <c r="F19" s="650"/>
      <c r="G19" s="865">
        <f>G20-G21</f>
        <v>0</v>
      </c>
      <c r="H19" s="865">
        <f>G19+H20-H21</f>
        <v>0</v>
      </c>
      <c r="I19" s="866">
        <f>H19+I20-I21</f>
        <v>0</v>
      </c>
      <c r="J19" s="867">
        <f>I19+J20-J21</f>
        <v>0</v>
      </c>
      <c r="L19" s="328"/>
      <c r="M19" s="262"/>
      <c r="N19" s="262"/>
      <c r="O19" s="262"/>
      <c r="P19" s="262"/>
      <c r="Q19" s="262"/>
      <c r="R19" s="262"/>
      <c r="S19" s="382"/>
    </row>
    <row r="20" spans="1:19" x14ac:dyDescent="0.25">
      <c r="A20" s="207"/>
      <c r="B20" s="471" t="s">
        <v>3</v>
      </c>
      <c r="C20" s="183" t="s">
        <v>454</v>
      </c>
      <c r="D20" s="183"/>
      <c r="E20" s="186" t="s">
        <v>345</v>
      </c>
      <c r="F20" s="630"/>
      <c r="G20" s="1768">
        <f>'AT1 Avustus, alv'!E7</f>
        <v>0</v>
      </c>
      <c r="H20" s="1768">
        <f>'AT1 Avustus, alv'!F7</f>
        <v>0</v>
      </c>
      <c r="I20" s="747">
        <f>'AT1 Avustus, alv'!G7</f>
        <v>0</v>
      </c>
      <c r="J20" s="618">
        <f>'AT1 Avustus, alv'!H7</f>
        <v>0</v>
      </c>
      <c r="L20" s="1658"/>
      <c r="M20" s="262"/>
      <c r="N20" s="262"/>
      <c r="O20" s="262"/>
      <c r="P20" s="262"/>
      <c r="Q20" s="262"/>
      <c r="R20" s="262"/>
      <c r="S20" s="382"/>
    </row>
    <row r="21" spans="1:19" x14ac:dyDescent="0.25">
      <c r="A21" s="5"/>
      <c r="B21" s="471" t="s">
        <v>3</v>
      </c>
      <c r="C21" s="520" t="s">
        <v>456</v>
      </c>
      <c r="D21" s="520"/>
      <c r="E21" s="521" t="s">
        <v>422</v>
      </c>
      <c r="F21" s="630"/>
      <c r="G21" s="890">
        <v>0</v>
      </c>
      <c r="H21" s="609">
        <v>0</v>
      </c>
      <c r="I21" s="1094"/>
      <c r="J21" s="1086"/>
      <c r="L21" s="328"/>
      <c r="M21" s="262"/>
      <c r="N21" s="262"/>
      <c r="O21" s="262"/>
      <c r="P21" s="262"/>
      <c r="Q21" s="262"/>
      <c r="R21" s="262"/>
      <c r="S21" s="382"/>
    </row>
    <row r="22" spans="1:19" x14ac:dyDescent="0.25">
      <c r="A22" s="5"/>
      <c r="B22" s="471"/>
      <c r="C22" s="1787" t="s">
        <v>462</v>
      </c>
      <c r="D22" s="1787"/>
      <c r="E22" s="519"/>
      <c r="F22" s="650"/>
      <c r="G22" s="865">
        <f>G23-G24-G25</f>
        <v>0</v>
      </c>
      <c r="H22" s="865">
        <f>G22+H23-H24-H25</f>
        <v>0</v>
      </c>
      <c r="I22" s="866">
        <f>H22+I23-I24-I25</f>
        <v>0</v>
      </c>
      <c r="J22" s="867">
        <f>I22+J23-J24-J25</f>
        <v>0</v>
      </c>
      <c r="L22" s="328"/>
      <c r="M22" s="262"/>
      <c r="N22" s="262"/>
      <c r="O22" s="262"/>
      <c r="P22" s="262"/>
      <c r="Q22" s="262"/>
      <c r="R22" s="262"/>
      <c r="S22" s="382"/>
    </row>
    <row r="23" spans="1:19" x14ac:dyDescent="0.25">
      <c r="A23" s="207"/>
      <c r="B23" s="471" t="s">
        <v>3</v>
      </c>
      <c r="C23" s="183" t="s">
        <v>454</v>
      </c>
      <c r="D23" s="183"/>
      <c r="E23" s="186" t="s">
        <v>345</v>
      </c>
      <c r="F23" s="630"/>
      <c r="G23" s="1768">
        <f>'AT1 Avustus, alv'!E14+'AT1 Avustus, alv'!E18</f>
        <v>0</v>
      </c>
      <c r="H23" s="1768">
        <f>'AT1 Avustus, alv'!F14+'AT1 Avustus, alv'!F18</f>
        <v>0</v>
      </c>
      <c r="I23" s="747">
        <f>'AT1 Avustus, alv'!G14+'AT1 Avustus, alv'!G18</f>
        <v>0</v>
      </c>
      <c r="J23" s="618">
        <f>'AT1 Avustus, alv'!H14+'AT1 Avustus, alv'!H18</f>
        <v>0</v>
      </c>
      <c r="L23" s="2083" t="s">
        <v>455</v>
      </c>
      <c r="M23" s="2084"/>
      <c r="N23" s="2084"/>
      <c r="O23" s="2084"/>
      <c r="P23" s="262"/>
      <c r="Q23" s="262"/>
      <c r="R23" s="262"/>
      <c r="S23" s="382"/>
    </row>
    <row r="24" spans="1:19" x14ac:dyDescent="0.25">
      <c r="B24" s="471" t="s">
        <v>3</v>
      </c>
      <c r="C24" s="183" t="s">
        <v>456</v>
      </c>
      <c r="D24" s="183"/>
      <c r="E24" s="185" t="s">
        <v>422</v>
      </c>
      <c r="F24" s="630"/>
      <c r="G24" s="890">
        <v>0</v>
      </c>
      <c r="H24" s="609">
        <v>0</v>
      </c>
      <c r="I24" s="1094">
        <v>0</v>
      </c>
      <c r="J24" s="1086">
        <v>0</v>
      </c>
      <c r="L24" s="354">
        <f>G$11</f>
        <v>2024</v>
      </c>
      <c r="M24" s="354">
        <f>H$11</f>
        <v>2025</v>
      </c>
      <c r="N24" s="354">
        <f>I$11</f>
        <v>2026</v>
      </c>
      <c r="O24" s="354">
        <f>J$11</f>
        <v>2027</v>
      </c>
      <c r="P24" s="262"/>
      <c r="Q24" s="262"/>
      <c r="R24" s="262"/>
      <c r="S24" s="382"/>
    </row>
    <row r="25" spans="1:19" x14ac:dyDescent="0.25">
      <c r="A25" s="207"/>
      <c r="B25" s="471"/>
      <c r="C25" s="520" t="s">
        <v>457</v>
      </c>
      <c r="D25" s="522" t="s">
        <v>458</v>
      </c>
      <c r="E25" s="523">
        <v>7.0000000000000007E-2</v>
      </c>
      <c r="F25" s="630"/>
      <c r="G25" s="348">
        <f>(F22+G23*L25/12-G24)*$E25</f>
        <v>0</v>
      </c>
      <c r="H25" s="348">
        <f>(G22+H23*M25/12-H24)*$E$25</f>
        <v>0</v>
      </c>
      <c r="I25" s="348">
        <f>(H22+I23*N25/12-I24)*$E$25</f>
        <v>0</v>
      </c>
      <c r="J25" s="871">
        <f>(I22+J23*O25/12-J24)*$E$25</f>
        <v>0</v>
      </c>
      <c r="L25" s="355">
        <v>12</v>
      </c>
      <c r="M25" s="355">
        <v>12</v>
      </c>
      <c r="N25" s="355">
        <v>12</v>
      </c>
      <c r="O25" s="355">
        <v>12</v>
      </c>
      <c r="P25" s="262"/>
      <c r="Q25" s="262"/>
      <c r="R25" s="262"/>
      <c r="S25" s="382"/>
    </row>
    <row r="26" spans="1:19" x14ac:dyDescent="0.25">
      <c r="B26" s="471"/>
      <c r="C26" s="1787" t="s">
        <v>463</v>
      </c>
      <c r="D26" s="1787"/>
      <c r="E26" s="519"/>
      <c r="F26" s="648"/>
      <c r="G26" s="865">
        <f>G27-G28-G29</f>
        <v>0</v>
      </c>
      <c r="H26" s="865">
        <f>G26+H27-H28-H29</f>
        <v>0</v>
      </c>
      <c r="I26" s="866">
        <f>H26+I27-I28-I29</f>
        <v>0</v>
      </c>
      <c r="J26" s="867">
        <f>I26+J27-J28-J29</f>
        <v>0</v>
      </c>
      <c r="L26" s="293"/>
      <c r="M26" s="156"/>
      <c r="N26" s="156"/>
      <c r="O26" s="156"/>
      <c r="P26" s="262"/>
      <c r="Q26" s="262"/>
      <c r="R26" s="262"/>
      <c r="S26" s="382"/>
    </row>
    <row r="27" spans="1:19" x14ac:dyDescent="0.25">
      <c r="A27" s="207"/>
      <c r="B27" s="471" t="s">
        <v>3</v>
      </c>
      <c r="C27" s="183" t="s">
        <v>454</v>
      </c>
      <c r="D27" s="183"/>
      <c r="E27" s="186" t="s">
        <v>345</v>
      </c>
      <c r="F27" s="630"/>
      <c r="G27" s="1768">
        <f>'AT1 Avustus, alv'!E27+'AT1 Avustus, alv'!E33</f>
        <v>0</v>
      </c>
      <c r="H27" s="1768">
        <f>'AT1 Avustus, alv'!F27+'AT1 Avustus, alv'!F33</f>
        <v>0</v>
      </c>
      <c r="I27" s="747">
        <f>'AT1 Avustus, alv'!G27+'AT1 Avustus, alv'!G33</f>
        <v>0</v>
      </c>
      <c r="J27" s="618">
        <f>'AT1 Avustus, alv'!H27+'AT1 Avustus, alv'!H33</f>
        <v>0</v>
      </c>
      <c r="L27" s="2083" t="s">
        <v>455</v>
      </c>
      <c r="M27" s="2084"/>
      <c r="N27" s="2084"/>
      <c r="O27" s="2084"/>
      <c r="P27" s="262"/>
      <c r="Q27" s="262"/>
      <c r="R27" s="262"/>
      <c r="S27" s="382"/>
    </row>
    <row r="28" spans="1:19" x14ac:dyDescent="0.25">
      <c r="A28" s="5"/>
      <c r="B28" s="471" t="s">
        <v>3</v>
      </c>
      <c r="C28" s="183" t="s">
        <v>456</v>
      </c>
      <c r="D28" s="183"/>
      <c r="E28" s="185" t="s">
        <v>422</v>
      </c>
      <c r="F28" s="630"/>
      <c r="G28" s="890">
        <v>0</v>
      </c>
      <c r="H28" s="609">
        <v>0</v>
      </c>
      <c r="I28" s="1094"/>
      <c r="J28" s="1086"/>
      <c r="L28" s="354">
        <f>G$11</f>
        <v>2024</v>
      </c>
      <c r="M28" s="354">
        <f>H$11</f>
        <v>2025</v>
      </c>
      <c r="N28" s="354">
        <f>I$11</f>
        <v>2026</v>
      </c>
      <c r="O28" s="354">
        <f>J$11</f>
        <v>2027</v>
      </c>
      <c r="P28" s="262"/>
      <c r="Q28" s="262"/>
      <c r="R28" s="262"/>
      <c r="S28" s="382"/>
    </row>
    <row r="29" spans="1:19" x14ac:dyDescent="0.25">
      <c r="A29" s="207"/>
      <c r="B29" s="471"/>
      <c r="C29" s="520" t="s">
        <v>457</v>
      </c>
      <c r="D29" s="522" t="s">
        <v>458</v>
      </c>
      <c r="E29" s="523">
        <v>0.2</v>
      </c>
      <c r="F29" s="651"/>
      <c r="G29" s="348">
        <f>(F26+G27*L29/12-G28)*$E29</f>
        <v>0</v>
      </c>
      <c r="H29" s="348">
        <f>(G26+H27*M29/12-H28)*$E$29</f>
        <v>0</v>
      </c>
      <c r="I29" s="348">
        <f>(H26+I27*N29/12-I28)*$E$29</f>
        <v>0</v>
      </c>
      <c r="J29" s="871">
        <f>(I26+J27*O29/12-J28)*$E$29</f>
        <v>0</v>
      </c>
      <c r="L29" s="355">
        <v>12</v>
      </c>
      <c r="M29" s="355">
        <v>12</v>
      </c>
      <c r="N29" s="355">
        <v>12</v>
      </c>
      <c r="O29" s="355">
        <v>12</v>
      </c>
      <c r="P29" s="262"/>
      <c r="Q29" s="262"/>
      <c r="R29" s="262"/>
      <c r="S29" s="382"/>
    </row>
    <row r="30" spans="1:19" x14ac:dyDescent="0.25">
      <c r="B30" s="471"/>
      <c r="C30" s="2104" t="s">
        <v>464</v>
      </c>
      <c r="D30" s="2104"/>
      <c r="E30" s="2105"/>
      <c r="F30" s="650"/>
      <c r="G30" s="865">
        <f>G31-G32-G33</f>
        <v>0</v>
      </c>
      <c r="H30" s="865">
        <f>G30+H31-H32-H33</f>
        <v>0</v>
      </c>
      <c r="I30" s="866">
        <f>H30+I31-I32-I33</f>
        <v>0</v>
      </c>
      <c r="J30" s="867">
        <f>I30+J31-J32-J33</f>
        <v>0</v>
      </c>
      <c r="L30" s="293"/>
      <c r="M30" s="156"/>
      <c r="N30" s="156"/>
      <c r="O30" s="156"/>
      <c r="P30" s="262"/>
      <c r="Q30" s="262"/>
      <c r="R30" s="262"/>
      <c r="S30" s="382"/>
    </row>
    <row r="31" spans="1:19" x14ac:dyDescent="0.25">
      <c r="A31" s="207"/>
      <c r="B31" s="471" t="s">
        <v>3</v>
      </c>
      <c r="C31" s="183" t="s">
        <v>454</v>
      </c>
      <c r="D31" s="183"/>
      <c r="E31" s="186" t="s">
        <v>345</v>
      </c>
      <c r="F31" s="630"/>
      <c r="G31" s="1768">
        <f>'AT1 Avustus, alv'!E40</f>
        <v>0</v>
      </c>
      <c r="H31" s="1768">
        <f>'AT1 Avustus, alv'!F40</f>
        <v>0</v>
      </c>
      <c r="I31" s="747">
        <f>'AT1 Avustus, alv'!G40</f>
        <v>0</v>
      </c>
      <c r="J31" s="618">
        <f>'AT1 Avustus, alv'!H40</f>
        <v>0</v>
      </c>
      <c r="L31" s="2083" t="s">
        <v>455</v>
      </c>
      <c r="M31" s="2084"/>
      <c r="N31" s="2084"/>
      <c r="O31" s="2084"/>
      <c r="P31" s="262"/>
      <c r="Q31" s="262"/>
      <c r="R31" s="262"/>
      <c r="S31" s="382"/>
    </row>
    <row r="32" spans="1:19" x14ac:dyDescent="0.25">
      <c r="A32" s="5"/>
      <c r="B32" s="471" t="s">
        <v>3</v>
      </c>
      <c r="C32" s="183" t="s">
        <v>456</v>
      </c>
      <c r="D32" s="183"/>
      <c r="E32" s="185" t="s">
        <v>422</v>
      </c>
      <c r="F32" s="630"/>
      <c r="G32" s="1134">
        <v>0</v>
      </c>
      <c r="H32" s="609"/>
      <c r="I32" s="1094"/>
      <c r="J32" s="1086">
        <v>0</v>
      </c>
      <c r="L32" s="354">
        <f>G$11</f>
        <v>2024</v>
      </c>
      <c r="M32" s="354">
        <f>H$11</f>
        <v>2025</v>
      </c>
      <c r="N32" s="354">
        <f>I$11</f>
        <v>2026</v>
      </c>
      <c r="O32" s="354">
        <f>J$11</f>
        <v>2027</v>
      </c>
      <c r="P32" s="262"/>
      <c r="Q32" s="262"/>
      <c r="R32" s="262"/>
      <c r="S32" s="382"/>
    </row>
    <row r="33" spans="1:19" x14ac:dyDescent="0.25">
      <c r="B33" s="471"/>
      <c r="C33" s="153" t="s">
        <v>457</v>
      </c>
      <c r="D33" s="168" t="s">
        <v>458</v>
      </c>
      <c r="E33" s="182">
        <v>0.2</v>
      </c>
      <c r="F33" s="630"/>
      <c r="G33" s="348">
        <f>(F30+G31*L33/12-G32)*$E33</f>
        <v>0</v>
      </c>
      <c r="H33" s="348">
        <f>(G30+H31*M33/12-H32)*$E$33</f>
        <v>0</v>
      </c>
      <c r="I33" s="348">
        <f>(H30+I31*N33/12-I32)*$E$33</f>
        <v>0</v>
      </c>
      <c r="J33" s="871">
        <f>(I30+J31*O33/12-J32)*$E$33</f>
        <v>0</v>
      </c>
      <c r="L33" s="355">
        <v>12</v>
      </c>
      <c r="M33" s="355">
        <v>12</v>
      </c>
      <c r="N33" s="355">
        <v>12</v>
      </c>
      <c r="O33" s="355">
        <v>12</v>
      </c>
      <c r="P33" s="262"/>
      <c r="Q33" s="262"/>
      <c r="R33" s="262"/>
      <c r="S33" s="382"/>
    </row>
    <row r="34" spans="1:19" x14ac:dyDescent="0.25">
      <c r="A34" s="207"/>
      <c r="B34" s="470" t="s">
        <v>465</v>
      </c>
      <c r="C34" s="408" t="s">
        <v>390</v>
      </c>
      <c r="D34" s="409"/>
      <c r="E34" s="410"/>
      <c r="F34" s="652"/>
      <c r="G34" s="1097">
        <f>F34+G35-G36</f>
        <v>0</v>
      </c>
      <c r="H34" s="1097">
        <f>G34+H35-H36</f>
        <v>0</v>
      </c>
      <c r="I34" s="1097">
        <f>H34+I35-I36</f>
        <v>0</v>
      </c>
      <c r="J34" s="1098">
        <f>I34+J35-J36</f>
        <v>0</v>
      </c>
      <c r="L34" s="1659"/>
      <c r="M34" s="413"/>
      <c r="N34" s="413"/>
      <c r="O34" s="413"/>
      <c r="P34" s="262"/>
      <c r="Q34" s="262"/>
      <c r="R34" s="262"/>
      <c r="S34" s="382"/>
    </row>
    <row r="35" spans="1:19" x14ac:dyDescent="0.25">
      <c r="A35" s="207"/>
      <c r="B35" s="470"/>
      <c r="C35" s="411" t="s">
        <v>454</v>
      </c>
      <c r="D35" s="411"/>
      <c r="E35" s="412" t="s">
        <v>345</v>
      </c>
      <c r="F35" s="652"/>
      <c r="G35" s="1768">
        <f>'1. T1 INVESTOINTISUUN.'!E38</f>
        <v>0</v>
      </c>
      <c r="H35" s="348">
        <f>'1. T1 INVESTOINTISUUN.'!F38</f>
        <v>0</v>
      </c>
      <c r="I35" s="348">
        <f>'1. T1 INVESTOINTISUUN.'!G38</f>
        <v>0</v>
      </c>
      <c r="J35" s="871">
        <f>'1. T1 INVESTOINTISUUN.'!H38</f>
        <v>0</v>
      </c>
      <c r="L35" s="1659"/>
      <c r="M35" s="413"/>
      <c r="N35" s="413"/>
      <c r="O35" s="413"/>
      <c r="P35" s="262"/>
      <c r="Q35" s="262"/>
      <c r="R35" s="262"/>
      <c r="S35" s="382"/>
    </row>
    <row r="36" spans="1:19" ht="13.8" thickBot="1" x14ac:dyDescent="0.3">
      <c r="A36"/>
      <c r="B36" s="472"/>
      <c r="C36" s="514" t="s">
        <v>456</v>
      </c>
      <c r="D36" s="514"/>
      <c r="E36" s="515" t="s">
        <v>422</v>
      </c>
      <c r="F36" s="653"/>
      <c r="G36" s="1099">
        <v>0</v>
      </c>
      <c r="H36" s="1100">
        <v>0</v>
      </c>
      <c r="I36" s="1100">
        <v>0</v>
      </c>
      <c r="J36" s="1101">
        <v>0</v>
      </c>
      <c r="L36" s="328"/>
      <c r="M36" s="262"/>
      <c r="N36" s="262"/>
      <c r="O36" s="262"/>
      <c r="P36" s="262"/>
      <c r="Q36" s="262"/>
      <c r="R36" s="262"/>
      <c r="S36" s="382"/>
    </row>
    <row r="37" spans="1:19" ht="6" customHeight="1" thickBot="1" x14ac:dyDescent="0.3">
      <c r="A37"/>
      <c r="B37" s="1801"/>
      <c r="C37" s="504"/>
      <c r="D37" s="511"/>
      <c r="E37" s="512"/>
      <c r="F37" s="513"/>
      <c r="G37" s="1102"/>
      <c r="H37" s="1102"/>
      <c r="I37" s="1102"/>
      <c r="J37" s="1102"/>
      <c r="K37" s="113"/>
      <c r="L37" s="370"/>
      <c r="M37" s="136"/>
      <c r="N37" s="136"/>
      <c r="O37" s="136"/>
      <c r="P37" s="136"/>
      <c r="Q37" s="136"/>
      <c r="R37" s="136"/>
      <c r="S37" s="416"/>
    </row>
    <row r="38" spans="1:19" x14ac:dyDescent="0.25">
      <c r="A38"/>
      <c r="B38" s="1139" t="s">
        <v>466</v>
      </c>
      <c r="C38" s="468" t="s">
        <v>467</v>
      </c>
      <c r="D38" s="468"/>
      <c r="E38" s="469"/>
      <c r="F38" s="632"/>
      <c r="G38" s="1079">
        <f>G39+G41+G48+G49</f>
        <v>0</v>
      </c>
      <c r="H38" s="1079">
        <f>H39+H41+H48+H49</f>
        <v>0</v>
      </c>
      <c r="I38" s="1079">
        <f>I39+I41+I48+I49</f>
        <v>0</v>
      </c>
      <c r="J38" s="1236">
        <f>J39+J41+J48+J49</f>
        <v>0</v>
      </c>
      <c r="L38" s="328"/>
      <c r="M38" s="262"/>
      <c r="N38" s="262"/>
      <c r="O38" s="262"/>
      <c r="P38" s="262"/>
      <c r="Q38" s="262"/>
      <c r="R38" s="262"/>
      <c r="S38" s="382"/>
    </row>
    <row r="39" spans="1:19" x14ac:dyDescent="0.25">
      <c r="A39"/>
      <c r="B39" s="470" t="s">
        <v>468</v>
      </c>
      <c r="C39" s="188" t="s">
        <v>405</v>
      </c>
      <c r="D39" s="188"/>
      <c r="E39" s="184" t="s">
        <v>345</v>
      </c>
      <c r="F39" s="659"/>
      <c r="G39" s="865">
        <f>'5. T4 RAHOITUSSUUN.'!G47</f>
        <v>0</v>
      </c>
      <c r="H39" s="865">
        <f>'5. T4 RAHOITUSSUUN.'!H47</f>
        <v>0</v>
      </c>
      <c r="I39" s="865">
        <f>'5. T4 RAHOITUSSUUN.'!I47</f>
        <v>0</v>
      </c>
      <c r="J39" s="867">
        <f>'5. T4 RAHOITUSSUUN.'!J47</f>
        <v>0</v>
      </c>
      <c r="L39" s="328"/>
      <c r="M39" s="262"/>
      <c r="N39" s="262"/>
      <c r="O39" s="262"/>
      <c r="P39" s="262"/>
      <c r="Q39" s="262"/>
      <c r="R39" s="262"/>
      <c r="S39" s="382"/>
    </row>
    <row r="40" spans="1:19" x14ac:dyDescent="0.25">
      <c r="A40" s="5"/>
      <c r="B40" s="470"/>
      <c r="C40" s="2076" t="s">
        <v>407</v>
      </c>
      <c r="D40" s="2077"/>
      <c r="E40" s="2078"/>
      <c r="F40" s="659"/>
      <c r="G40" s="1288">
        <f>'5. T4 RAHOITUSSUUN.'!G48</f>
        <v>0</v>
      </c>
      <c r="H40" s="1288">
        <f>'5. T4 RAHOITUSSUUN.'!H48</f>
        <v>0</v>
      </c>
      <c r="I40" s="1288">
        <f>'5. T4 RAHOITUSSUUN.'!I48</f>
        <v>0</v>
      </c>
      <c r="J40" s="1289">
        <f>'5. T4 RAHOITUSSUUN.'!J48</f>
        <v>0</v>
      </c>
      <c r="L40" s="328"/>
      <c r="M40" s="262"/>
      <c r="N40" s="262"/>
      <c r="O40" s="262"/>
      <c r="P40" s="262"/>
      <c r="Q40" s="262"/>
      <c r="R40" s="262"/>
      <c r="S40" s="382"/>
    </row>
    <row r="41" spans="1:19" x14ac:dyDescent="0.25">
      <c r="A41" s="207"/>
      <c r="B41" s="470" t="s">
        <v>459</v>
      </c>
      <c r="C41" s="188" t="s">
        <v>469</v>
      </c>
      <c r="D41" s="188"/>
      <c r="E41" s="184" t="s">
        <v>345</v>
      </c>
      <c r="F41" s="650"/>
      <c r="G41" s="865">
        <f>G42+G46+G47+G44</f>
        <v>0</v>
      </c>
      <c r="H41" s="865">
        <f>H42+H46+H47+H44</f>
        <v>0</v>
      </c>
      <c r="I41" s="865">
        <f>I42+I46+I47+I44</f>
        <v>0</v>
      </c>
      <c r="J41" s="867">
        <f>J42+J46+J47+J44</f>
        <v>0</v>
      </c>
      <c r="L41" s="328"/>
      <c r="M41" s="262"/>
      <c r="N41" s="262"/>
      <c r="O41" s="262"/>
      <c r="P41" s="262"/>
      <c r="Q41" s="262"/>
      <c r="R41" s="262"/>
      <c r="S41" s="382"/>
    </row>
    <row r="42" spans="1:19" x14ac:dyDescent="0.25">
      <c r="B42" s="471" t="s">
        <v>3</v>
      </c>
      <c r="C42" s="183" t="s">
        <v>470</v>
      </c>
      <c r="D42" s="183"/>
      <c r="E42" s="186" t="s">
        <v>345</v>
      </c>
      <c r="F42" s="652"/>
      <c r="G42" s="1768">
        <f>'5. T4 RAHOITUSSUUN.'!G49</f>
        <v>0</v>
      </c>
      <c r="H42" s="1768">
        <f>'5. T4 RAHOITUSSUUN.'!H49</f>
        <v>0</v>
      </c>
      <c r="I42" s="1768">
        <f>'5. T4 RAHOITUSSUUN.'!I49</f>
        <v>0</v>
      </c>
      <c r="J42" s="618">
        <f>'5. T4 RAHOITUSSUUN.'!J49</f>
        <v>0</v>
      </c>
      <c r="L42" s="328"/>
      <c r="M42" s="262"/>
      <c r="N42" s="262"/>
      <c r="O42" s="262"/>
      <c r="P42" s="262"/>
      <c r="Q42" s="262"/>
      <c r="R42" s="262"/>
      <c r="S42" s="382"/>
    </row>
    <row r="43" spans="1:19" x14ac:dyDescent="0.25">
      <c r="A43"/>
      <c r="B43" s="471"/>
      <c r="C43" s="2080" t="s">
        <v>412</v>
      </c>
      <c r="D43" s="2080"/>
      <c r="E43" s="2081"/>
      <c r="F43" s="652"/>
      <c r="G43" s="868">
        <f>'5. T4 RAHOITUSSUUN.'!G50</f>
        <v>14</v>
      </c>
      <c r="H43" s="868">
        <f>'5. T4 RAHOITUSSUUN.'!H50</f>
        <v>14</v>
      </c>
      <c r="I43" s="868">
        <f>'5. T4 RAHOITUSSUUN.'!I50</f>
        <v>14</v>
      </c>
      <c r="J43" s="1233">
        <f>'5. T4 RAHOITUSSUUN.'!J50</f>
        <v>14</v>
      </c>
      <c r="L43" s="328"/>
      <c r="M43" s="262"/>
      <c r="N43" s="262"/>
      <c r="O43" s="262"/>
      <c r="P43" s="262"/>
      <c r="Q43" s="262"/>
      <c r="R43" s="262"/>
      <c r="S43" s="382"/>
    </row>
    <row r="44" spans="1:19" x14ac:dyDescent="0.25">
      <c r="A44"/>
      <c r="B44" s="471"/>
      <c r="C44" s="2054" t="s">
        <v>471</v>
      </c>
      <c r="D44" s="2054"/>
      <c r="E44" s="186" t="s">
        <v>345</v>
      </c>
      <c r="F44" s="652"/>
      <c r="G44" s="1768">
        <f>'5. T4 RAHOITUSSUUN.'!G53</f>
        <v>0</v>
      </c>
      <c r="H44" s="1768">
        <f>'5. T4 RAHOITUSSUUN.'!H53</f>
        <v>0</v>
      </c>
      <c r="I44" s="1768">
        <f>'5. T4 RAHOITUSSUUN.'!I53</f>
        <v>0</v>
      </c>
      <c r="J44" s="618">
        <f>'5. T4 RAHOITUSSUUN.'!J53</f>
        <v>0</v>
      </c>
      <c r="L44" s="328"/>
      <c r="M44" s="262"/>
      <c r="N44" s="262"/>
      <c r="O44" s="262"/>
      <c r="P44" s="262"/>
      <c r="Q44" s="262"/>
      <c r="R44" s="262"/>
      <c r="S44" s="382"/>
    </row>
    <row r="45" spans="1:19" x14ac:dyDescent="0.25">
      <c r="A45"/>
      <c r="B45" s="471"/>
      <c r="C45" s="2106" t="s">
        <v>419</v>
      </c>
      <c r="D45" s="2107"/>
      <c r="E45" s="2108"/>
      <c r="F45" s="652"/>
      <c r="G45" s="869">
        <f>'5. T4 RAHOITUSSUUN.'!G54</f>
        <v>0</v>
      </c>
      <c r="H45" s="869">
        <f>'5. T4 RAHOITUSSUUN.'!H54</f>
        <v>0</v>
      </c>
      <c r="I45" s="869">
        <f>'5. T4 RAHOITUSSUUN.'!I54</f>
        <v>0</v>
      </c>
      <c r="J45" s="870">
        <f>'5. T4 RAHOITUSSUUN.'!J54</f>
        <v>0</v>
      </c>
      <c r="L45" s="328"/>
      <c r="M45" s="262"/>
      <c r="N45" s="262"/>
      <c r="O45" s="262"/>
      <c r="P45" s="262"/>
      <c r="Q45" s="262"/>
      <c r="R45" s="262"/>
      <c r="S45" s="382"/>
    </row>
    <row r="46" spans="1:19" x14ac:dyDescent="0.25">
      <c r="B46" s="471"/>
      <c r="C46" s="2054" t="s">
        <v>472</v>
      </c>
      <c r="D46" s="2054"/>
      <c r="E46" s="186" t="s">
        <v>345</v>
      </c>
      <c r="F46" s="652"/>
      <c r="G46" s="1768">
        <f>'5. T4 RAHOITUSSUUN.'!G51</f>
        <v>0</v>
      </c>
      <c r="H46" s="1768">
        <f>'5. T4 RAHOITUSSUUN.'!H51</f>
        <v>0</v>
      </c>
      <c r="I46" s="1768">
        <f>'5. T4 RAHOITUSSUUN.'!I51</f>
        <v>0</v>
      </c>
      <c r="J46" s="618">
        <f>'5. T4 RAHOITUSSUUN.'!J51</f>
        <v>0</v>
      </c>
      <c r="L46" s="328"/>
      <c r="M46" s="262"/>
      <c r="N46" s="262">
        <v>0</v>
      </c>
      <c r="O46" s="262"/>
      <c r="P46" s="262"/>
      <c r="Q46" s="262"/>
      <c r="R46" s="262"/>
      <c r="S46" s="382"/>
    </row>
    <row r="47" spans="1:19" x14ac:dyDescent="0.25">
      <c r="A47"/>
      <c r="B47" s="471"/>
      <c r="C47" s="2054" t="s">
        <v>473</v>
      </c>
      <c r="D47" s="2054"/>
      <c r="E47" s="186" t="s">
        <v>345</v>
      </c>
      <c r="F47" s="652"/>
      <c r="G47" s="1768">
        <f>'5. T4 RAHOITUSSUUN.'!G52</f>
        <v>0</v>
      </c>
      <c r="H47" s="1768">
        <f>'5. T4 RAHOITUSSUUN.'!H52</f>
        <v>0</v>
      </c>
      <c r="I47" s="1768">
        <f>'5. T4 RAHOITUSSUUN.'!I52</f>
        <v>0</v>
      </c>
      <c r="J47" s="618">
        <f>'5. T4 RAHOITUSSUUN.'!J52</f>
        <v>0</v>
      </c>
      <c r="L47" s="328"/>
      <c r="M47" s="262"/>
      <c r="N47" s="262"/>
      <c r="O47" s="262"/>
      <c r="P47" s="262"/>
      <c r="Q47" s="386"/>
      <c r="R47" s="262"/>
      <c r="S47" s="417"/>
    </row>
    <row r="48" spans="1:19" x14ac:dyDescent="0.25">
      <c r="B48" s="470" t="s">
        <v>465</v>
      </c>
      <c r="C48" s="2095" t="s">
        <v>474</v>
      </c>
      <c r="D48" s="2095"/>
      <c r="E48" s="184" t="s">
        <v>345</v>
      </c>
      <c r="F48" s="659"/>
      <c r="G48" s="872">
        <v>0</v>
      </c>
      <c r="H48" s="872">
        <f>G48</f>
        <v>0</v>
      </c>
      <c r="I48" s="872">
        <f>H48</f>
        <v>0</v>
      </c>
      <c r="J48" s="873">
        <f>I48</f>
        <v>0</v>
      </c>
      <c r="L48" s="328"/>
      <c r="M48" s="262">
        <v>0</v>
      </c>
      <c r="N48" s="262"/>
      <c r="O48" s="262"/>
      <c r="P48" s="262"/>
      <c r="Q48" s="262"/>
      <c r="R48" s="262"/>
      <c r="S48" s="382"/>
    </row>
    <row r="49" spans="1:19" ht="13.8" thickBot="1" x14ac:dyDescent="0.3">
      <c r="B49" s="472" t="s">
        <v>475</v>
      </c>
      <c r="C49" s="473" t="s">
        <v>476</v>
      </c>
      <c r="D49" s="473"/>
      <c r="E49" s="474" t="s">
        <v>345</v>
      </c>
      <c r="F49" s="660"/>
      <c r="G49" s="874">
        <f>G98-G13-G39-G41-G48</f>
        <v>0</v>
      </c>
      <c r="H49" s="874">
        <f>H98-H13-H39-H41-H48</f>
        <v>0</v>
      </c>
      <c r="I49" s="875">
        <f>I98-I13-I39-I41-I48</f>
        <v>0</v>
      </c>
      <c r="J49" s="876">
        <f>J98-J13-J39-J41-J48</f>
        <v>0</v>
      </c>
      <c r="L49" s="1658"/>
      <c r="M49" s="262"/>
      <c r="N49" s="262"/>
      <c r="O49" s="262"/>
      <c r="P49" s="262"/>
      <c r="Q49" s="262"/>
      <c r="R49" s="262"/>
      <c r="S49" s="382"/>
    </row>
    <row r="50" spans="1:19" ht="6" customHeight="1" thickBot="1" x14ac:dyDescent="0.3">
      <c r="B50" s="464"/>
      <c r="C50" s="465"/>
      <c r="D50" s="465"/>
      <c r="E50" s="466"/>
      <c r="F50" s="467"/>
      <c r="G50" s="877"/>
      <c r="H50" s="877"/>
      <c r="I50" s="877"/>
      <c r="J50" s="877"/>
      <c r="L50" s="418"/>
      <c r="M50" s="136"/>
      <c r="N50" s="136"/>
      <c r="O50" s="136"/>
      <c r="P50" s="136"/>
      <c r="Q50" s="136"/>
      <c r="R50" s="136"/>
      <c r="S50" s="416"/>
    </row>
    <row r="51" spans="1:19" ht="13.8" thickBot="1" x14ac:dyDescent="0.3">
      <c r="B51" s="2098" t="s">
        <v>477</v>
      </c>
      <c r="C51" s="2099"/>
      <c r="D51" s="2099"/>
      <c r="E51" s="2100"/>
      <c r="F51" s="228" t="s">
        <v>3</v>
      </c>
      <c r="G51" s="878">
        <f>G38+G13</f>
        <v>0</v>
      </c>
      <c r="H51" s="878">
        <f>H38+H13</f>
        <v>0</v>
      </c>
      <c r="I51" s="879">
        <f>I38+I13</f>
        <v>0</v>
      </c>
      <c r="J51" s="880">
        <f>J38+J13</f>
        <v>0</v>
      </c>
      <c r="L51" s="328"/>
      <c r="M51" s="262"/>
      <c r="N51" s="262"/>
      <c r="O51" s="262"/>
      <c r="P51" s="262"/>
      <c r="Q51" s="262"/>
      <c r="R51" s="262"/>
      <c r="S51" s="382"/>
    </row>
    <row r="52" spans="1:19" ht="12.75" customHeight="1" thickBot="1" x14ac:dyDescent="0.3">
      <c r="B52" s="32"/>
      <c r="C52" s="535" t="s">
        <v>3</v>
      </c>
      <c r="D52" s="535"/>
      <c r="G52" s="32"/>
      <c r="H52" s="32"/>
      <c r="I52" s="32"/>
      <c r="J52" s="32"/>
      <c r="L52" s="419"/>
      <c r="M52" s="305"/>
      <c r="N52" s="305"/>
      <c r="O52" s="305"/>
      <c r="P52" s="305"/>
      <c r="Q52" s="305"/>
      <c r="R52" s="305"/>
      <c r="S52" s="420"/>
    </row>
    <row r="53" spans="1:19" ht="12.75" customHeight="1" thickBot="1" x14ac:dyDescent="0.3">
      <c r="B53" s="1326"/>
      <c r="C53" s="1327"/>
      <c r="D53" s="1327"/>
      <c r="E53" s="1328"/>
      <c r="F53" s="1341"/>
      <c r="G53" s="1341" t="str">
        <f t="shared" ref="G53:J54" si="0">G10</f>
        <v>Ennuste 1</v>
      </c>
      <c r="H53" s="1341" t="str">
        <f t="shared" si="0"/>
        <v>Ennuste 2</v>
      </c>
      <c r="I53" s="1353" t="str">
        <f t="shared" si="0"/>
        <v>Ennuste 3</v>
      </c>
      <c r="J53" s="1342" t="str">
        <f t="shared" si="0"/>
        <v>Ennuste 4</v>
      </c>
      <c r="L53" s="2089" t="str">
        <f>B54</f>
        <v>VASTATTAVAA</v>
      </c>
      <c r="M53" s="2090"/>
      <c r="N53" s="2090"/>
      <c r="O53" s="2090"/>
      <c r="P53" s="2090"/>
      <c r="Q53" s="2090"/>
      <c r="R53" s="2090"/>
      <c r="S53" s="2091"/>
    </row>
    <row r="54" spans="1:19" ht="12.75" customHeight="1" x14ac:dyDescent="0.25">
      <c r="B54" s="2101" t="s">
        <v>478</v>
      </c>
      <c r="C54" s="2102"/>
      <c r="D54" s="2102"/>
      <c r="E54" s="2103"/>
      <c r="F54" s="1344"/>
      <c r="G54" s="1319">
        <f t="shared" si="0"/>
        <v>2024</v>
      </c>
      <c r="H54" s="1319">
        <f t="shared" si="0"/>
        <v>2025</v>
      </c>
      <c r="I54" s="1354">
        <f t="shared" si="0"/>
        <v>2026</v>
      </c>
      <c r="J54" s="1320">
        <f t="shared" si="0"/>
        <v>2027</v>
      </c>
      <c r="L54" s="421"/>
      <c r="M54" s="379"/>
      <c r="N54" s="379"/>
      <c r="O54" s="379"/>
      <c r="P54" s="379"/>
      <c r="Q54" s="379"/>
      <c r="R54" s="379"/>
      <c r="S54" s="422"/>
    </row>
    <row r="55" spans="1:19" ht="12.75" customHeight="1" thickBot="1" x14ac:dyDescent="0.3">
      <c r="B55" s="1362"/>
      <c r="C55" s="1330"/>
      <c r="D55" s="1330"/>
      <c r="E55" s="1331"/>
      <c r="F55" s="1363"/>
      <c r="G55" s="1364" t="s">
        <v>117</v>
      </c>
      <c r="H55" s="1364" t="s">
        <v>117</v>
      </c>
      <c r="I55" s="1365" t="s">
        <v>117</v>
      </c>
      <c r="J55" s="1366" t="s">
        <v>117</v>
      </c>
      <c r="L55" s="328"/>
      <c r="M55" s="262"/>
      <c r="N55" s="262"/>
      <c r="O55" s="262"/>
      <c r="P55" s="262"/>
      <c r="Q55" s="262"/>
      <c r="R55" s="262"/>
      <c r="S55" s="382"/>
    </row>
    <row r="56" spans="1:19" x14ac:dyDescent="0.25">
      <c r="A56"/>
      <c r="B56" s="1139" t="s">
        <v>479</v>
      </c>
      <c r="C56" s="468" t="s">
        <v>480</v>
      </c>
      <c r="D56" s="468"/>
      <c r="E56" s="475"/>
      <c r="F56" s="632"/>
      <c r="G56" s="1079">
        <f>G57+G58-G59+G60+G61</f>
        <v>0</v>
      </c>
      <c r="H56" s="1079">
        <f>H57+H58-H59+H60+H61</f>
        <v>0</v>
      </c>
      <c r="I56" s="1079">
        <f>I57+I58-I59+I60+I61</f>
        <v>0</v>
      </c>
      <c r="J56" s="1103">
        <f>J57+J58-J59+J60+J61</f>
        <v>0</v>
      </c>
      <c r="L56" s="328"/>
      <c r="M56" s="262"/>
      <c r="N56" s="262"/>
      <c r="O56" s="262"/>
      <c r="P56" s="262"/>
      <c r="Q56" s="262"/>
      <c r="R56" s="262"/>
      <c r="S56" s="382"/>
    </row>
    <row r="57" spans="1:19" s="1" customFormat="1" x14ac:dyDescent="0.25">
      <c r="A57" s="32"/>
      <c r="B57" s="1879"/>
      <c r="C57" s="411" t="s">
        <v>481</v>
      </c>
      <c r="D57" s="411"/>
      <c r="E57" s="287"/>
      <c r="F57" s="654"/>
      <c r="G57" s="1768">
        <f>'1. T1 INVESTOINTISUUN.'!E46</f>
        <v>0</v>
      </c>
      <c r="H57" s="1768">
        <f>G57+'1. T1 INVESTOINTISUUN.'!F46</f>
        <v>0</v>
      </c>
      <c r="I57" s="1768">
        <f>H57+'1. T1 INVESTOINTISUUN.'!G46</f>
        <v>0</v>
      </c>
      <c r="J57" s="618">
        <f>I57+'1. T1 INVESTOINTISUUN.'!H46</f>
        <v>0</v>
      </c>
      <c r="K57" s="4"/>
      <c r="L57" s="1657" t="s">
        <v>3</v>
      </c>
      <c r="M57" s="120"/>
      <c r="N57" s="120"/>
      <c r="O57" s="120"/>
      <c r="P57" s="120"/>
      <c r="Q57" s="120"/>
      <c r="R57" s="120"/>
      <c r="S57" s="417"/>
    </row>
    <row r="58" spans="1:19" s="1" customFormat="1" x14ac:dyDescent="0.25">
      <c r="A58" s="32"/>
      <c r="B58" s="1879"/>
      <c r="C58" s="183" t="s">
        <v>482</v>
      </c>
      <c r="D58" s="183"/>
      <c r="E58" s="508"/>
      <c r="F58" s="654"/>
      <c r="G58" s="619">
        <f>F58-F59+F60</f>
        <v>0</v>
      </c>
      <c r="H58" s="619">
        <f>G58-G59+G60</f>
        <v>0</v>
      </c>
      <c r="I58" s="1764">
        <f>H58-H59+H60</f>
        <v>0</v>
      </c>
      <c r="J58" s="618">
        <f>I58-I59+I60</f>
        <v>0</v>
      </c>
      <c r="K58" s="4"/>
      <c r="L58" s="328"/>
      <c r="M58" s="262"/>
      <c r="N58" s="262"/>
      <c r="O58" s="262"/>
      <c r="P58" s="262"/>
      <c r="Q58" s="262"/>
      <c r="R58" s="262"/>
      <c r="S58" s="382"/>
    </row>
    <row r="59" spans="1:19" s="1" customFormat="1" x14ac:dyDescent="0.25">
      <c r="A59" s="32"/>
      <c r="B59" s="1879"/>
      <c r="C59" s="2054" t="s">
        <v>483</v>
      </c>
      <c r="D59" s="2054"/>
      <c r="E59" s="2082"/>
      <c r="F59" s="630"/>
      <c r="G59" s="1104">
        <f>'5. T4 RAHOITUSSUUN.'!G39</f>
        <v>0</v>
      </c>
      <c r="H59" s="1104">
        <f>'5. T4 RAHOITUSSUUN.'!H39</f>
        <v>0</v>
      </c>
      <c r="I59" s="1104">
        <f>'5. T4 RAHOITUSSUUN.'!I39</f>
        <v>0</v>
      </c>
      <c r="J59" s="1234">
        <f>'5. T4 RAHOITUSSUUN.'!J39</f>
        <v>0</v>
      </c>
      <c r="K59" s="4"/>
      <c r="L59" s="328"/>
      <c r="M59" s="262"/>
      <c r="N59" s="262"/>
      <c r="O59" s="262"/>
      <c r="P59" s="262"/>
      <c r="Q59" s="262"/>
      <c r="R59" s="262"/>
      <c r="S59" s="382"/>
    </row>
    <row r="60" spans="1:19" s="1" customFormat="1" x14ac:dyDescent="0.25">
      <c r="A60" s="32"/>
      <c r="B60" s="1879"/>
      <c r="C60" s="183" t="s">
        <v>484</v>
      </c>
      <c r="D60" s="183"/>
      <c r="E60" s="508"/>
      <c r="F60" s="654"/>
      <c r="G60" s="619">
        <f>'7. T2 TULOSSUUN.'!G31</f>
        <v>0</v>
      </c>
      <c r="H60" s="619">
        <f>'7. T2 TULOSSUUN.'!I31</f>
        <v>0</v>
      </c>
      <c r="I60" s="1764">
        <f>'7. T2 TULOSSUUN.'!K31</f>
        <v>0</v>
      </c>
      <c r="J60" s="620">
        <f>'7. T2 TULOSSUUN.'!M31</f>
        <v>0</v>
      </c>
      <c r="K60" s="4"/>
      <c r="L60" s="328"/>
      <c r="M60" s="262"/>
      <c r="N60" s="262"/>
      <c r="O60" s="262"/>
      <c r="P60" s="262"/>
      <c r="Q60" s="262"/>
      <c r="R60" s="262"/>
      <c r="S60" s="382"/>
    </row>
    <row r="61" spans="1:19" s="1" customFormat="1" x14ac:dyDescent="0.25">
      <c r="A61" s="32"/>
      <c r="B61" s="1879"/>
      <c r="C61" s="183" t="s">
        <v>485</v>
      </c>
      <c r="D61" s="183"/>
      <c r="E61" s="508"/>
      <c r="F61" s="654"/>
      <c r="G61" s="1105">
        <f>'1. T1 INVESTOINTISUUN.'!E47</f>
        <v>0</v>
      </c>
      <c r="H61" s="616">
        <f>G61+'1. T1 INVESTOINTISUUN.'!F47</f>
        <v>0</v>
      </c>
      <c r="I61" s="616">
        <f>H61+'1. T1 INVESTOINTISUUN.'!G47</f>
        <v>0</v>
      </c>
      <c r="J61" s="1086">
        <f>I61+'1. T1 INVESTOINTISUUN.'!H47</f>
        <v>0</v>
      </c>
      <c r="K61" s="4"/>
      <c r="L61" s="328"/>
      <c r="M61" s="262"/>
      <c r="N61" s="262"/>
      <c r="O61" s="262"/>
      <c r="P61" s="262"/>
      <c r="Q61" s="262"/>
      <c r="R61" s="262"/>
      <c r="S61" s="382"/>
    </row>
    <row r="62" spans="1:19" x14ac:dyDescent="0.25">
      <c r="A62" s="207"/>
      <c r="B62" s="476" t="s">
        <v>486</v>
      </c>
      <c r="C62" s="161" t="s">
        <v>487</v>
      </c>
      <c r="D62" s="161"/>
      <c r="E62" s="163"/>
      <c r="F62" s="655"/>
      <c r="G62" s="1106">
        <f>G63+G64</f>
        <v>0</v>
      </c>
      <c r="H62" s="1106">
        <f>H63+H64</f>
        <v>0</v>
      </c>
      <c r="I62" s="1107">
        <f>I63+I64</f>
        <v>0</v>
      </c>
      <c r="J62" s="1108">
        <f>J63+J64</f>
        <v>0</v>
      </c>
      <c r="L62" s="328"/>
      <c r="M62" s="262"/>
      <c r="N62" s="262"/>
      <c r="O62" s="262"/>
      <c r="P62" s="262"/>
      <c r="Q62" s="262"/>
      <c r="R62" s="262"/>
      <c r="S62" s="382"/>
    </row>
    <row r="63" spans="1:19" x14ac:dyDescent="0.25">
      <c r="B63" s="477" t="s">
        <v>3</v>
      </c>
      <c r="C63" s="1785" t="s">
        <v>488</v>
      </c>
      <c r="D63" s="1785"/>
      <c r="E63" s="1142" t="s">
        <v>489</v>
      </c>
      <c r="F63" s="1140"/>
      <c r="G63" s="890"/>
      <c r="H63" s="890"/>
      <c r="I63" s="1150"/>
      <c r="J63" s="1151"/>
      <c r="L63" s="328"/>
      <c r="M63" s="262"/>
      <c r="N63" s="262"/>
      <c r="O63" s="262"/>
      <c r="P63" s="262"/>
      <c r="Q63" s="262"/>
      <c r="R63" s="262"/>
      <c r="S63" s="382"/>
    </row>
    <row r="64" spans="1:19" x14ac:dyDescent="0.25">
      <c r="A64" s="207"/>
      <c r="B64" s="477" t="s">
        <v>3</v>
      </c>
      <c r="C64" s="183" t="s">
        <v>490</v>
      </c>
      <c r="D64" s="183"/>
      <c r="E64" s="288"/>
      <c r="F64" s="630"/>
      <c r="G64" s="1768">
        <f>G65*('3. E1 KUSTANNUKSET'!D13*'3. E1 KUSTANNUKSET'!D15+'3. E1 KUSTANNUKSET'!D17+'3. E1 KUSTANNUKSET'!D24)</f>
        <v>0</v>
      </c>
      <c r="H64" s="1768">
        <f>H65*('3. E1 KUSTANNUKSET'!F13*'3. E1 KUSTANNUKSET'!F15+'3. E1 KUSTANNUKSET'!F17+'3. E1 KUSTANNUKSET'!F24)</f>
        <v>0</v>
      </c>
      <c r="I64" s="1768">
        <f>I65*('3. E1 KUSTANNUKSET'!H13*'3. E1 KUSTANNUKSET'!H15+'3. E1 KUSTANNUKSET'!H17+'3. E1 KUSTANNUKSET'!H24)</f>
        <v>0</v>
      </c>
      <c r="J64" s="618">
        <f>J65*('3. E1 KUSTANNUKSET'!J13*'3. E1 KUSTANNUKSET'!J15+'3. E1 KUSTANNUKSET'!J17+'3. E1 KUSTANNUKSET'!J24)</f>
        <v>0</v>
      </c>
      <c r="L64" s="328"/>
      <c r="M64" s="262"/>
      <c r="N64" s="262"/>
      <c r="O64" s="262"/>
      <c r="P64" s="262"/>
      <c r="Q64" s="262"/>
      <c r="R64" s="262"/>
      <c r="S64" s="382"/>
    </row>
    <row r="65" spans="1:19" x14ac:dyDescent="0.25">
      <c r="A65" s="5"/>
      <c r="B65" s="477"/>
      <c r="C65" s="2079" t="s">
        <v>491</v>
      </c>
      <c r="D65" s="2080"/>
      <c r="E65" s="2081"/>
      <c r="F65" s="656"/>
      <c r="G65" s="1109">
        <v>0</v>
      </c>
      <c r="H65" s="1109">
        <f>G65</f>
        <v>0</v>
      </c>
      <c r="I65" s="1110">
        <f>H65</f>
        <v>0</v>
      </c>
      <c r="J65" s="1111">
        <f>I65</f>
        <v>0</v>
      </c>
      <c r="L65" s="328"/>
      <c r="M65" s="262"/>
      <c r="N65" s="262"/>
      <c r="O65" s="262"/>
      <c r="P65" s="262"/>
      <c r="Q65" s="262"/>
      <c r="R65" s="262"/>
      <c r="S65" s="382"/>
    </row>
    <row r="66" spans="1:19" x14ac:dyDescent="0.25">
      <c r="A66" s="207"/>
      <c r="B66" s="476" t="s">
        <v>492</v>
      </c>
      <c r="C66" s="1963" t="s">
        <v>493</v>
      </c>
      <c r="D66" s="1963"/>
      <c r="E66" s="2085"/>
      <c r="F66" s="1880"/>
      <c r="G66" s="1112"/>
      <c r="H66" s="1112"/>
      <c r="I66" s="1113"/>
      <c r="J66" s="1114"/>
      <c r="L66" s="328"/>
      <c r="M66" s="262"/>
      <c r="N66" s="262"/>
      <c r="O66" s="262"/>
      <c r="P66" s="262"/>
      <c r="Q66" s="262"/>
      <c r="R66" s="262"/>
      <c r="S66" s="382"/>
    </row>
    <row r="67" spans="1:19" x14ac:dyDescent="0.25">
      <c r="B67" s="476" t="s">
        <v>494</v>
      </c>
      <c r="C67" s="1963" t="s">
        <v>495</v>
      </c>
      <c r="D67" s="1963"/>
      <c r="E67" s="2085"/>
      <c r="F67" s="657"/>
      <c r="G67" s="1106">
        <f>G68+G69+G70+G73</f>
        <v>0</v>
      </c>
      <c r="H67" s="1106">
        <f>H68+H69+H70+H73</f>
        <v>0</v>
      </c>
      <c r="I67" s="1107">
        <f>I68+I69+I70+I73</f>
        <v>0</v>
      </c>
      <c r="J67" s="1108">
        <f>J68+J69+J70+J73</f>
        <v>0</v>
      </c>
      <c r="L67" s="328"/>
      <c r="M67" s="262"/>
      <c r="N67" s="262"/>
      <c r="O67" s="262"/>
      <c r="P67" s="262"/>
      <c r="Q67" s="262"/>
      <c r="R67" s="262"/>
      <c r="S67" s="382"/>
    </row>
    <row r="68" spans="1:19" x14ac:dyDescent="0.25">
      <c r="A68" s="207"/>
      <c r="B68" s="471" t="s">
        <v>3</v>
      </c>
      <c r="C68" s="2093" t="s">
        <v>496</v>
      </c>
      <c r="D68" s="2093"/>
      <c r="E68" s="2094"/>
      <c r="F68" s="629"/>
      <c r="G68" s="1768">
        <f>'AT2 Lainat, alv'!U8+'AT2 Lainat, alv'!U9+'AT2 Lainat, alv'!U10+'AT2 Lainat, alv'!U11-'5. T4 RAHOITUSSUUN.'!G35</f>
        <v>0</v>
      </c>
      <c r="H68" s="1768">
        <f>'AT2 Lainat, alv'!AA8+'AT2 Lainat, alv'!AA9+'AT2 Lainat, alv'!AA10+'AT2 Lainat, alv'!AA11+'AT2 Lainat, alv'!AA12+'AT2 Lainat, alv'!AA13+'AT2 Lainat, alv'!AA14+'AT2 Lainat, alv'!AA15-'5. T4 RAHOITUSSUUN.'!G35-'5. T4 RAHOITUSSUUN.'!H35</f>
        <v>0</v>
      </c>
      <c r="I68" s="1768">
        <f>'AT2 Lainat, alv'!AG8+'AT2 Lainat, alv'!AG9+'AT2 Lainat, alv'!AG10+'AT2 Lainat, alv'!AG11+'AT2 Lainat, alv'!AG12+'AT2 Lainat, alv'!AG13+'AT2 Lainat, alv'!AG14+'AT2 Lainat, alv'!AG15+'AT2 Lainat, alv'!AG16+'AT2 Lainat, alv'!AG17+'AT2 Lainat, alv'!AG18+'AT2 Lainat, alv'!AG19-'5. T4 RAHOITUSSUUN.'!G35-'5. T4 RAHOITUSSUUN.'!H35-'5. T4 RAHOITUSSUUN.'!I35</f>
        <v>0</v>
      </c>
      <c r="J68" s="618">
        <f>'AT2 Lainat, alv'!AM24-'5. T4 RAHOITUSSUUN.'!G35-'5. T4 RAHOITUSSUUN.'!H35-'5. T4 RAHOITUSSUUN.'!I35-'5. T4 RAHOITUSSUUN.'!J35</f>
        <v>0</v>
      </c>
      <c r="L68" s="328"/>
      <c r="M68" s="262"/>
      <c r="N68" s="262"/>
      <c r="O68" s="262" t="s">
        <v>3</v>
      </c>
      <c r="P68" s="262"/>
      <c r="Q68" s="262"/>
      <c r="R68" s="262"/>
      <c r="S68" s="382"/>
    </row>
    <row r="69" spans="1:19" x14ac:dyDescent="0.25">
      <c r="B69" s="471" t="s">
        <v>3</v>
      </c>
      <c r="C69" s="2054" t="s">
        <v>497</v>
      </c>
      <c r="D69" s="2054"/>
      <c r="E69" s="2082"/>
      <c r="F69" s="630"/>
      <c r="G69" s="609">
        <f>'1. T1 INVESTOINTISUUN.'!E49</f>
        <v>0</v>
      </c>
      <c r="H69" s="609">
        <f>G69+'1. T1 INVESTOINTISUUN.'!F49</f>
        <v>0</v>
      </c>
      <c r="I69" s="609">
        <f>H69+'1. T1 INVESTOINTISUUN.'!G49</f>
        <v>0</v>
      </c>
      <c r="J69" s="1086">
        <f>I69+'1. T1 INVESTOINTISUUN.'!H49</f>
        <v>0</v>
      </c>
      <c r="L69" s="328"/>
      <c r="M69" s="262" t="s">
        <v>3</v>
      </c>
      <c r="N69" s="262"/>
      <c r="O69" s="262"/>
      <c r="P69" s="262"/>
      <c r="Q69" s="262"/>
      <c r="R69" s="262"/>
      <c r="S69" s="382"/>
    </row>
    <row r="70" spans="1:19" x14ac:dyDescent="0.25">
      <c r="A70" s="207"/>
      <c r="B70" s="471" t="s">
        <v>3</v>
      </c>
      <c r="C70" s="183" t="s">
        <v>498</v>
      </c>
      <c r="D70" s="183"/>
      <c r="E70" s="186"/>
      <c r="F70" s="630"/>
      <c r="G70" s="1768">
        <f>G71+G72</f>
        <v>0</v>
      </c>
      <c r="H70" s="1768">
        <f>H71+H72</f>
        <v>0</v>
      </c>
      <c r="I70" s="747">
        <f>I71+I72</f>
        <v>0</v>
      </c>
      <c r="J70" s="618">
        <f>J71+J72</f>
        <v>0</v>
      </c>
      <c r="L70" s="328"/>
      <c r="M70" s="262"/>
      <c r="N70" s="262"/>
      <c r="O70" s="262"/>
      <c r="P70" s="262"/>
      <c r="Q70" s="262"/>
      <c r="R70" s="262"/>
      <c r="S70" s="382"/>
    </row>
    <row r="71" spans="1:19" x14ac:dyDescent="0.25">
      <c r="A71" s="207"/>
      <c r="B71" s="471"/>
      <c r="C71" s="183" t="s">
        <v>499</v>
      </c>
      <c r="D71" s="183"/>
      <c r="E71" s="186"/>
      <c r="F71" s="630"/>
      <c r="G71" s="328"/>
      <c r="H71" s="609">
        <f>G71</f>
        <v>0</v>
      </c>
      <c r="I71" s="1094">
        <f>H71</f>
        <v>0</v>
      </c>
      <c r="J71" s="1086">
        <f>I71</f>
        <v>0</v>
      </c>
      <c r="L71" s="328"/>
      <c r="M71" s="120"/>
      <c r="N71" s="120"/>
      <c r="O71" s="120"/>
      <c r="P71" s="120"/>
      <c r="Q71" s="120"/>
      <c r="R71" s="120"/>
      <c r="S71" s="417"/>
    </row>
    <row r="72" spans="1:19" x14ac:dyDescent="0.25">
      <c r="A72" s="5"/>
      <c r="B72" s="471"/>
      <c r="C72" s="183" t="s">
        <v>500</v>
      </c>
      <c r="D72" s="183"/>
      <c r="E72" s="186"/>
      <c r="F72" s="658"/>
      <c r="G72" s="1768">
        <f>'AT2 Lainat, alv'!U29</f>
        <v>0</v>
      </c>
      <c r="H72" s="1768">
        <f>'AT2 Lainat, alv'!AA29+'AT2 Lainat, alv'!AA32</f>
        <v>0</v>
      </c>
      <c r="I72" s="1768">
        <f>'AT2 Lainat, alv'!AG29+'AT2 Lainat, alv'!AG32+'AT2 Lainat, alv'!AG35</f>
        <v>0</v>
      </c>
      <c r="J72" s="618">
        <f>IF('2. T7 LAINAT'!O38=0,'AT2 Lainat, alv'!AM29+'AT2 Lainat, alv'!AM32+'AT2 Lainat, alv'!AM35,+'AT2 Lainat, alv'!AM41)</f>
        <v>0</v>
      </c>
      <c r="L72" s="328"/>
      <c r="M72" s="262"/>
      <c r="N72" s="262"/>
      <c r="O72" s="262"/>
      <c r="P72" s="262"/>
      <c r="Q72" s="262"/>
      <c r="R72" s="262"/>
      <c r="S72" s="382"/>
    </row>
    <row r="73" spans="1:19" x14ac:dyDescent="0.25">
      <c r="A73" s="207"/>
      <c r="B73" s="471"/>
      <c r="C73" s="2054" t="s">
        <v>501</v>
      </c>
      <c r="D73" s="2054"/>
      <c r="E73" s="2082"/>
      <c r="F73" s="630"/>
      <c r="G73" s="609">
        <f>'2. T7 LAINAT'!C44</f>
        <v>0</v>
      </c>
      <c r="H73" s="1094">
        <f>G73</f>
        <v>0</v>
      </c>
      <c r="I73" s="1094">
        <f>H73</f>
        <v>0</v>
      </c>
      <c r="J73" s="1086">
        <f>I73</f>
        <v>0</v>
      </c>
      <c r="L73" s="423">
        <f>IF(G73&gt;0,"Ilman velkakirjaa saadut rahalainat merkitään tähän!",IF(H73&gt;0,"Ilman velkakirjaa saadut rahalainat merkitään tähän!",IF(I73&gt;0,"Ilman velkakirjaa saadut rahalainat merkitään tähän!",IF(J73&gt;0,"Ilman velkakirjaa saadut rahalainat merkitään tähän!",0))))</f>
        <v>0</v>
      </c>
      <c r="M73" s="120"/>
      <c r="N73" s="120"/>
      <c r="O73" s="120"/>
      <c r="P73" s="120"/>
      <c r="Q73" s="120"/>
      <c r="R73" s="120"/>
      <c r="S73" s="417"/>
    </row>
    <row r="74" spans="1:19" x14ac:dyDescent="0.25">
      <c r="B74" s="476" t="s">
        <v>502</v>
      </c>
      <c r="C74" s="1963" t="s">
        <v>503</v>
      </c>
      <c r="D74" s="1963"/>
      <c r="E74" s="2085"/>
      <c r="F74" s="657"/>
      <c r="G74" s="1106">
        <f>G75+G78+G79+G83+G89+G94</f>
        <v>0</v>
      </c>
      <c r="H74" s="1106">
        <f>H75+H78+H79+H83+H89+H94</f>
        <v>0</v>
      </c>
      <c r="I74" s="1106">
        <f>I75+I78+I79+I83+I89+I94</f>
        <v>0</v>
      </c>
      <c r="J74" s="1108">
        <f>J75+J78+J79+J83+J89+J94</f>
        <v>0</v>
      </c>
      <c r="L74" s="328"/>
      <c r="M74" s="262"/>
      <c r="N74" s="262"/>
      <c r="O74" s="262"/>
      <c r="P74" s="262"/>
      <c r="Q74" s="262"/>
      <c r="R74" s="262"/>
      <c r="S74" s="382"/>
    </row>
    <row r="75" spans="1:19" x14ac:dyDescent="0.25">
      <c r="A75" s="207"/>
      <c r="B75" s="471" t="s">
        <v>3</v>
      </c>
      <c r="C75" s="2093" t="s">
        <v>496</v>
      </c>
      <c r="D75" s="2093"/>
      <c r="E75" s="2094"/>
      <c r="F75" s="629"/>
      <c r="G75" s="1767">
        <f>G76+G77</f>
        <v>0</v>
      </c>
      <c r="H75" s="1767">
        <f>H76+H77</f>
        <v>0</v>
      </c>
      <c r="I75" s="1767">
        <f>I76+I77</f>
        <v>0</v>
      </c>
      <c r="J75" s="1115">
        <f>J76+J77</f>
        <v>0</v>
      </c>
      <c r="L75" s="328"/>
      <c r="M75" s="262"/>
      <c r="N75" s="262"/>
      <c r="O75" s="262"/>
      <c r="P75" s="262"/>
      <c r="Q75" s="262"/>
      <c r="R75" s="262"/>
      <c r="S75" s="382"/>
    </row>
    <row r="76" spans="1:19" x14ac:dyDescent="0.25">
      <c r="A76" s="207"/>
      <c r="B76" s="471"/>
      <c r="C76" s="1785" t="s">
        <v>504</v>
      </c>
      <c r="D76" s="1785"/>
      <c r="E76" s="1786"/>
      <c r="F76" s="629"/>
      <c r="G76" s="1085">
        <f>'2. T7 LAINAT'!J13+'2. T7 LAINAT'!J14+'2. T7 LAINAT'!J15+'2. T7 LAINAT'!J16</f>
        <v>0</v>
      </c>
      <c r="H76" s="1085">
        <f>'2. T7 LAINAT'!M13+'2. T7 LAINAT'!M14+'2. T7 LAINAT'!M15+'2. T7 LAINAT'!M16+'2. T7 LAINAT'!M18+'2. T7 LAINAT'!M19+'2. T7 LAINAT'!M20+'2. T7 LAINAT'!M21</f>
        <v>0</v>
      </c>
      <c r="I76" s="1085">
        <f>'2. T7 LAINAT'!P13+'2. T7 LAINAT'!P14+'2. T7 LAINAT'!P15+'2. T7 LAINAT'!P16+'2. T7 LAINAT'!P18+'2. T7 LAINAT'!P19+'2. T7 LAINAT'!P20+'2. T7 LAINAT'!P21+'2. T7 LAINAT'!P23+'2. T7 LAINAT'!P24+'2. T7 LAINAT'!P25+'2. T7 LAINAT'!P26</f>
        <v>0</v>
      </c>
      <c r="J76" s="1116">
        <f>'AT2 Lainat, alv'!AK24</f>
        <v>0</v>
      </c>
      <c r="L76" s="328"/>
      <c r="M76" s="262"/>
      <c r="N76" s="262"/>
      <c r="O76" s="262"/>
      <c r="P76" s="262"/>
      <c r="Q76" s="262"/>
      <c r="R76" s="262"/>
      <c r="S76" s="382"/>
    </row>
    <row r="77" spans="1:19" x14ac:dyDescent="0.25">
      <c r="A77" s="207"/>
      <c r="B77" s="471"/>
      <c r="C77" s="1785" t="s">
        <v>505</v>
      </c>
      <c r="D77" s="1785"/>
      <c r="E77" s="1786"/>
      <c r="F77" s="629"/>
      <c r="G77" s="609">
        <f>'2. T7 LAINAT'!C40</f>
        <v>0</v>
      </c>
      <c r="H77" s="609">
        <f t="shared" ref="H77:J78" si="1">G77</f>
        <v>0</v>
      </c>
      <c r="I77" s="609">
        <f t="shared" si="1"/>
        <v>0</v>
      </c>
      <c r="J77" s="1086">
        <f t="shared" si="1"/>
        <v>0</v>
      </c>
      <c r="L77" s="328"/>
      <c r="M77" s="262"/>
      <c r="N77" s="262"/>
      <c r="O77" s="262"/>
      <c r="P77" s="262"/>
      <c r="Q77" s="262"/>
      <c r="R77" s="262"/>
      <c r="S77" s="382"/>
    </row>
    <row r="78" spans="1:19" x14ac:dyDescent="0.25">
      <c r="B78" s="471" t="s">
        <v>3</v>
      </c>
      <c r="C78" s="2054" t="s">
        <v>497</v>
      </c>
      <c r="D78" s="2054"/>
      <c r="E78" s="2082"/>
      <c r="F78" s="630"/>
      <c r="G78" s="609">
        <v>0</v>
      </c>
      <c r="H78" s="609">
        <f t="shared" si="1"/>
        <v>0</v>
      </c>
      <c r="I78" s="609">
        <f t="shared" si="1"/>
        <v>0</v>
      </c>
      <c r="J78" s="1086">
        <f t="shared" si="1"/>
        <v>0</v>
      </c>
      <c r="L78" s="328"/>
      <c r="M78" s="262"/>
      <c r="N78" s="262"/>
      <c r="O78" s="262"/>
      <c r="P78" s="262"/>
      <c r="Q78" s="262"/>
      <c r="R78" s="262"/>
      <c r="S78" s="382"/>
    </row>
    <row r="79" spans="1:19" x14ac:dyDescent="0.25">
      <c r="A79" s="207"/>
      <c r="B79" s="471" t="s">
        <v>3</v>
      </c>
      <c r="C79" s="183" t="s">
        <v>498</v>
      </c>
      <c r="D79" s="183"/>
      <c r="E79" s="186"/>
      <c r="F79" s="630"/>
      <c r="G79" s="1768">
        <f>G80+G82</f>
        <v>0</v>
      </c>
      <c r="H79" s="1768">
        <f>H80+H82</f>
        <v>0</v>
      </c>
      <c r="I79" s="747">
        <f>I80+I82</f>
        <v>0</v>
      </c>
      <c r="J79" s="618">
        <f>J80+J82</f>
        <v>0</v>
      </c>
      <c r="L79" s="328"/>
      <c r="M79" s="262"/>
      <c r="N79" s="262"/>
      <c r="O79" s="262">
        <v>0</v>
      </c>
      <c r="P79" s="262"/>
      <c r="Q79" s="262"/>
      <c r="R79" s="262"/>
      <c r="S79" s="382"/>
    </row>
    <row r="80" spans="1:19" x14ac:dyDescent="0.25">
      <c r="A80" s="5"/>
      <c r="B80" s="471"/>
      <c r="C80" s="183" t="s">
        <v>499</v>
      </c>
      <c r="D80" s="183"/>
      <c r="E80" s="186"/>
      <c r="F80" s="630"/>
      <c r="G80" s="1768">
        <f>'5. T4 RAHOITUSSUUN.'!G55</f>
        <v>0</v>
      </c>
      <c r="H80" s="1768">
        <f>'5. T4 RAHOITUSSUUN.'!H55</f>
        <v>0</v>
      </c>
      <c r="I80" s="1768">
        <f>'5. T4 RAHOITUSSUUN.'!I55</f>
        <v>0</v>
      </c>
      <c r="J80" s="618">
        <f>'5. T4 RAHOITUSSUUN.'!J55</f>
        <v>0</v>
      </c>
      <c r="L80" s="328"/>
      <c r="M80" s="262"/>
      <c r="N80" s="262"/>
      <c r="O80" s="262"/>
      <c r="P80" s="262"/>
      <c r="Q80" s="262"/>
      <c r="R80" s="262"/>
      <c r="S80" s="382"/>
    </row>
    <row r="81" spans="1:19" x14ac:dyDescent="0.25">
      <c r="A81" s="5"/>
      <c r="B81" s="471"/>
      <c r="C81" s="2106" t="s">
        <v>423</v>
      </c>
      <c r="D81" s="2107"/>
      <c r="E81" s="2108"/>
      <c r="F81" s="630"/>
      <c r="G81" s="868">
        <f>'5. T4 RAHOITUSSUUN.'!G56</f>
        <v>14</v>
      </c>
      <c r="H81" s="868">
        <f>'5. T4 RAHOITUSSUUN.'!H56</f>
        <v>14</v>
      </c>
      <c r="I81" s="868">
        <f>'5. T4 RAHOITUSSUUN.'!I56</f>
        <v>14</v>
      </c>
      <c r="J81" s="1233">
        <f>'5. T4 RAHOITUSSUUN.'!J56</f>
        <v>14</v>
      </c>
      <c r="L81" s="328"/>
      <c r="M81" s="262"/>
      <c r="N81" s="262"/>
      <c r="O81" s="262"/>
      <c r="P81" s="262"/>
      <c r="Q81" s="262"/>
      <c r="R81" s="262"/>
      <c r="S81" s="382"/>
    </row>
    <row r="82" spans="1:19" x14ac:dyDescent="0.25">
      <c r="A82" s="207"/>
      <c r="B82" s="471"/>
      <c r="C82" s="183" t="s">
        <v>500</v>
      </c>
      <c r="D82" s="183"/>
      <c r="E82" s="186"/>
      <c r="F82" s="658"/>
      <c r="G82" s="1768">
        <f>'AT2 Lainat, alv'!S29</f>
        <v>0</v>
      </c>
      <c r="H82" s="1768">
        <f>'AT2 Lainat, alv'!Y29+'AT2 Lainat, alv'!Y32</f>
        <v>0</v>
      </c>
      <c r="I82" s="1768">
        <f>'AT2 Lainat, alv'!AE29+'AT2 Lainat, alv'!AE32+'AT2 Lainat, alv'!AE35</f>
        <v>0</v>
      </c>
      <c r="J82" s="618">
        <f>'AT2 Lainat, alv'!AK29+'AT2 Lainat, alv'!AK32+'AT2 Lainat, alv'!AK35+'AT2 Lainat, alv'!AK38</f>
        <v>0</v>
      </c>
      <c r="L82" s="328"/>
      <c r="M82" s="262"/>
      <c r="N82" s="262"/>
      <c r="O82" s="262"/>
      <c r="P82" s="262"/>
      <c r="Q82" s="262"/>
      <c r="R82" s="262"/>
      <c r="S82" s="382"/>
    </row>
    <row r="83" spans="1:19" x14ac:dyDescent="0.25">
      <c r="B83" s="471"/>
      <c r="C83" s="2054" t="s">
        <v>506</v>
      </c>
      <c r="D83" s="2054"/>
      <c r="E83" s="2082"/>
      <c r="F83" s="630"/>
      <c r="G83" s="1768">
        <f>G84+G86+G87+G88</f>
        <v>0</v>
      </c>
      <c r="H83" s="1768">
        <f>H84+H86+H87+H88</f>
        <v>0</v>
      </c>
      <c r="I83" s="747">
        <f>I84+I86+I87+I88</f>
        <v>0</v>
      </c>
      <c r="J83" s="618">
        <f>J84+J86+J87+J88</f>
        <v>0</v>
      </c>
      <c r="L83" s="328"/>
      <c r="M83" s="262"/>
      <c r="N83" s="262"/>
      <c r="O83" s="262"/>
      <c r="P83" s="262"/>
      <c r="Q83" s="262"/>
      <c r="R83" s="262"/>
      <c r="S83" s="382"/>
    </row>
    <row r="84" spans="1:19" x14ac:dyDescent="0.25">
      <c r="A84" s="207"/>
      <c r="B84" s="471"/>
      <c r="C84" s="1773" t="s">
        <v>507</v>
      </c>
      <c r="D84" s="187"/>
      <c r="E84" s="289"/>
      <c r="F84" s="654"/>
      <c r="G84" s="619">
        <f>G85*('3. E1 KUSTANNUKSET'!D13+'3. E1 KUSTANNUKSET'!D14+'3. E1 KUSTANNUKSET'!D22/12+'3. E1 KUSTANNUKSET'!D17/12+'3. E1 KUSTANNUKSET'!D24/12+'3. E1 KUSTANNUKSET'!D28/12)</f>
        <v>0</v>
      </c>
      <c r="H84" s="619">
        <f>H85*('3. E1 KUSTANNUKSET'!F13+'3. E1 KUSTANNUKSET'!F14+'3. E1 KUSTANNUKSET'!F22/12+'3. E1 KUSTANNUKSET'!F17/12+'3. E1 KUSTANNUKSET'!F24/12+'3. E1 KUSTANNUKSET'!F28/12)</f>
        <v>0</v>
      </c>
      <c r="I84" s="619">
        <f>I85*('3. E1 KUSTANNUKSET'!H13+'3. E1 KUSTANNUKSET'!H14+'3. E1 KUSTANNUKSET'!H22/12+'3. E1 KUSTANNUKSET'!H17/12+'3. E1 KUSTANNUKSET'!H24/12+'3. E1 KUSTANNUKSET'!H28/12)</f>
        <v>0</v>
      </c>
      <c r="J84" s="618">
        <f>J85*('3. E1 KUSTANNUKSET'!J13+'3. E1 KUSTANNUKSET'!J14+'3. E1 KUSTANNUKSET'!J22/12+'3. E1 KUSTANNUKSET'!J17/12+'3. E1 KUSTANNUKSET'!J24/12+'3. E1 KUSTANNUKSET'!J28/12)</f>
        <v>0</v>
      </c>
      <c r="L84" s="328"/>
      <c r="M84" s="262"/>
      <c r="N84" s="262"/>
      <c r="O84" s="262"/>
      <c r="P84" s="262"/>
      <c r="Q84" s="262"/>
      <c r="R84" s="262"/>
      <c r="S84" s="382"/>
    </row>
    <row r="85" spans="1:19" x14ac:dyDescent="0.25">
      <c r="B85" s="471"/>
      <c r="C85" s="2079" t="s">
        <v>508</v>
      </c>
      <c r="D85" s="2080"/>
      <c r="E85" s="2081"/>
      <c r="F85" s="663"/>
      <c r="G85" s="1117">
        <v>0.25</v>
      </c>
      <c r="H85" s="1117">
        <f>G85</f>
        <v>0.25</v>
      </c>
      <c r="I85" s="1117">
        <f>H85</f>
        <v>0.25</v>
      </c>
      <c r="J85" s="1118">
        <f>I85</f>
        <v>0.25</v>
      </c>
      <c r="L85" s="328"/>
      <c r="M85" s="262"/>
      <c r="N85" s="262"/>
      <c r="O85" s="262"/>
      <c r="P85" s="262"/>
      <c r="Q85" s="262"/>
      <c r="R85" s="262"/>
      <c r="S85" s="382"/>
    </row>
    <row r="86" spans="1:19" x14ac:dyDescent="0.25">
      <c r="A86" s="207"/>
      <c r="B86" s="471"/>
      <c r="C86" s="1773" t="s">
        <v>509</v>
      </c>
      <c r="D86" s="1773"/>
      <c r="E86" s="1773"/>
      <c r="F86" s="654"/>
      <c r="G86" s="619">
        <f>'8. T5 KASSABUDJETTI'!AD30*('3. E1 KUSTANNUKSET'!D13+'3. E1 KUSTANNUKSET'!D14+'3. E1 KUSTANNUKSET'!D17/12+'3. E1 KUSTANNUKSET'!D22/12+'3. E1 KUSTANNUKSET'!D24/12+'3. E1 KUSTANNUKSET'!D28/12)</f>
        <v>0</v>
      </c>
      <c r="H86" s="619">
        <f>'8. T5 KASSABUDJETTI'!AD30*('3. E1 KUSTANNUKSET'!F13+'3. E1 KUSTANNUKSET'!F14+'3. E1 KUSTANNUKSET'!F17/12+'3. E1 KUSTANNUKSET'!F22/12+'3. E1 KUSTANNUKSET'!F24/12+'3. E1 KUSTANNUKSET'!F28/12)</f>
        <v>0</v>
      </c>
      <c r="I86" s="619">
        <f>'8. T5 KASSABUDJETTI'!AD30*('3. E1 KUSTANNUKSET'!H13+'3. E1 KUSTANNUKSET'!H14+'3. E1 KUSTANNUKSET'!H17/12+'3. E1 KUSTANNUKSET'!H22/12+'3. E1 KUSTANNUKSET'!H24/12+'3. E1 KUSTANNUKSET'!H28/12)</f>
        <v>0</v>
      </c>
      <c r="J86" s="620">
        <f>'8. T5 KASSABUDJETTI'!AD30*('3. E1 KUSTANNUKSET'!J13+'3. E1 KUSTANNUKSET'!J14+'3. E1 KUSTANNUKSET'!J17/12+'3. E1 KUSTANNUKSET'!J22/12+'3. E1 KUSTANNUKSET'!J24/12+'3. E1 KUSTANNUKSET'!J28/12)</f>
        <v>0</v>
      </c>
      <c r="L86" s="328"/>
      <c r="M86" s="262"/>
      <c r="N86" s="262"/>
      <c r="O86" s="262"/>
      <c r="P86" s="262"/>
      <c r="Q86" s="262"/>
      <c r="R86" s="262"/>
      <c r="S86" s="382"/>
    </row>
    <row r="87" spans="1:19" x14ac:dyDescent="0.25">
      <c r="A87" s="5"/>
      <c r="B87" s="471"/>
      <c r="C87" s="2054" t="s">
        <v>510</v>
      </c>
      <c r="D87" s="2054"/>
      <c r="E87" s="2054"/>
      <c r="F87" s="654"/>
      <c r="G87" s="616">
        <f>('4. E2 LIIKEVAIHTO'!E67-'4. E2 LIIKEVAIHTO'!E68-IF('4. E2 LIIKEVAIHTO'!E67=0,0,'AT2 Lainat, alv'!E57)+G94)/6</f>
        <v>0</v>
      </c>
      <c r="H87" s="616">
        <f>('4. E2 LIIKEVAIHTO'!F67-'4. E2 LIIKEVAIHTO'!F68-IF('4. E2 LIIKEVAIHTO'!F67=0,0,'AT2 Lainat, alv'!G57)+H94)/6</f>
        <v>0</v>
      </c>
      <c r="I87" s="616">
        <f>('4. E2 LIIKEVAIHTO'!G67-'4. E2 LIIKEVAIHTO'!G68-IF('4. E2 LIIKEVAIHTO'!G67=0,0,'AT2 Lainat, alv'!I57)+I94)/6</f>
        <v>0</v>
      </c>
      <c r="J87" s="1086">
        <f>('4. E2 LIIKEVAIHTO'!H67-'4. E2 LIIKEVAIHTO'!H68-IF('4. E2 LIIKEVAIHTO'!H67=0,0,'AT2 Lainat, alv'!K57)+J94)/6</f>
        <v>0</v>
      </c>
      <c r="L87" s="328"/>
      <c r="M87" s="262"/>
      <c r="N87" s="262"/>
      <c r="O87" s="262"/>
      <c r="P87" s="262"/>
      <c r="Q87" s="262"/>
      <c r="R87" s="262"/>
      <c r="S87" s="382"/>
    </row>
    <row r="88" spans="1:19" x14ac:dyDescent="0.25">
      <c r="A88" s="207"/>
      <c r="B88" s="471"/>
      <c r="C88" s="2054" t="s">
        <v>511</v>
      </c>
      <c r="D88" s="2054"/>
      <c r="E88" s="2054"/>
      <c r="F88" s="654"/>
      <c r="G88" s="616">
        <v>0</v>
      </c>
      <c r="H88" s="616"/>
      <c r="I88" s="616"/>
      <c r="J88" s="1119"/>
      <c r="L88" s="328"/>
      <c r="M88" s="262"/>
      <c r="N88" s="262"/>
      <c r="O88" s="262"/>
      <c r="P88" s="262"/>
      <c r="Q88" s="262"/>
      <c r="R88" s="262"/>
      <c r="S88" s="382"/>
    </row>
    <row r="89" spans="1:19" s="1" customFormat="1" x14ac:dyDescent="0.25">
      <c r="A89" s="32"/>
      <c r="B89" s="471" t="s">
        <v>3</v>
      </c>
      <c r="C89" s="183" t="s">
        <v>512</v>
      </c>
      <c r="D89" s="187"/>
      <c r="E89" s="322"/>
      <c r="F89" s="654"/>
      <c r="G89" s="1120">
        <f>G91+G90+G92</f>
        <v>0</v>
      </c>
      <c r="H89" s="1120">
        <f>H91+H90+H92</f>
        <v>0</v>
      </c>
      <c r="I89" s="1120">
        <f>I91+I90+I92</f>
        <v>0</v>
      </c>
      <c r="J89" s="1121">
        <f>J91+J90+J92</f>
        <v>0</v>
      </c>
      <c r="K89" s="535"/>
      <c r="L89" s="328"/>
      <c r="M89" s="262"/>
      <c r="N89" s="262"/>
      <c r="O89" s="262"/>
      <c r="P89" s="262"/>
      <c r="Q89" s="262"/>
      <c r="R89" s="262"/>
      <c r="S89" s="382"/>
    </row>
    <row r="90" spans="1:19" s="1" customFormat="1" x14ac:dyDescent="0.25">
      <c r="A90" s="207"/>
      <c r="B90" s="471"/>
      <c r="C90" s="2054" t="s">
        <v>513</v>
      </c>
      <c r="D90" s="2054"/>
      <c r="E90" s="2054"/>
      <c r="F90" s="630"/>
      <c r="G90" s="616">
        <v>0</v>
      </c>
      <c r="H90" s="616"/>
      <c r="I90" s="616"/>
      <c r="J90" s="1119"/>
      <c r="K90" s="535"/>
      <c r="L90" s="328"/>
      <c r="M90" s="262"/>
      <c r="N90" s="262"/>
      <c r="O90" s="262"/>
      <c r="P90" s="262"/>
      <c r="Q90" s="262"/>
      <c r="R90" s="262"/>
      <c r="S90" s="382"/>
    </row>
    <row r="91" spans="1:19" s="1" customFormat="1" x14ac:dyDescent="0.25">
      <c r="A91" s="5"/>
      <c r="B91" s="471"/>
      <c r="C91" s="2093" t="s">
        <v>514</v>
      </c>
      <c r="D91" s="2093"/>
      <c r="E91" s="2093"/>
      <c r="F91" s="661"/>
      <c r="G91" s="1085">
        <f>(('3. E1 KUSTANNUKSET'!D12+'3. E1 KUSTANNUKSET'!D17+'3. E1 KUSTANNUKSET'!D24)/12/25)*30+0.5*(('3. E1 KUSTANNUKSET'!D12+'3. E1 KUSTANNUKSET'!D17+'3. E1 KUSTANNUKSET'!D24)/12/25)*30</f>
        <v>0</v>
      </c>
      <c r="H91" s="1085">
        <f>(('3. E1 KUSTANNUKSET'!F12+'3. E1 KUSTANNUKSET'!F17+'3. E1 KUSTANNUKSET'!F24)/12.5/25)*30+0.5*(('3. E1 KUSTANNUKSET'!F12+'3. E1 KUSTANNUKSET'!F17+'3. E1 KUSTANNUKSET'!F24)/12.5/25)*30</f>
        <v>0</v>
      </c>
      <c r="I91" s="1768">
        <f>(('3. E1 KUSTANNUKSET'!H12+'3. E1 KUSTANNUKSET'!H17+'3. E1 KUSTANNUKSET'!H24)/12.5/25)*30+0.5*(('3. E1 KUSTANNUKSET'!H12+'3. E1 KUSTANNUKSET'!H17+'3. E1 KUSTANNUKSET'!H24)/12.5/25)*30</f>
        <v>0</v>
      </c>
      <c r="J91" s="618">
        <f>(('3. E1 KUSTANNUKSET'!J12+'3. E1 KUSTANNUKSET'!J17+'3. E1 KUSTANNUKSET'!J24)/12.5/25)*30+0.5*(('3. E1 KUSTANNUKSET'!J12+'3. E1 KUSTANNUKSET'!J17+'3. E1 KUSTANNUKSET'!J24)/12.5/25)*30</f>
        <v>0</v>
      </c>
      <c r="K91" s="535"/>
      <c r="L91" s="328"/>
      <c r="M91" s="262"/>
      <c r="N91" s="262"/>
      <c r="O91" s="262"/>
      <c r="P91" s="262"/>
      <c r="Q91" s="262"/>
      <c r="R91" s="262"/>
      <c r="S91" s="382"/>
    </row>
    <row r="92" spans="1:19" s="1" customFormat="1" x14ac:dyDescent="0.25">
      <c r="A92" s="32"/>
      <c r="B92" s="471"/>
      <c r="C92" s="183" t="s">
        <v>515</v>
      </c>
      <c r="D92" s="187"/>
      <c r="E92" s="290"/>
      <c r="F92" s="630"/>
      <c r="G92" s="619">
        <f>G91*G93</f>
        <v>0</v>
      </c>
      <c r="H92" s="619">
        <f>H91*H93</f>
        <v>0</v>
      </c>
      <c r="I92" s="619">
        <f>I91*I93</f>
        <v>0</v>
      </c>
      <c r="J92" s="620">
        <f>J91*J93</f>
        <v>0</v>
      </c>
      <c r="K92" s="535"/>
      <c r="L92" s="328"/>
      <c r="M92" s="262">
        <v>0</v>
      </c>
      <c r="N92" s="262"/>
      <c r="O92" s="262"/>
      <c r="P92" s="262"/>
      <c r="Q92" s="262"/>
      <c r="R92" s="262"/>
      <c r="S92" s="382"/>
    </row>
    <row r="93" spans="1:19" s="1" customFormat="1" x14ac:dyDescent="0.25">
      <c r="A93" s="207"/>
      <c r="B93" s="478"/>
      <c r="C93" s="2079" t="s">
        <v>516</v>
      </c>
      <c r="D93" s="2080"/>
      <c r="E93" s="2081"/>
      <c r="F93" s="662"/>
      <c r="G93" s="1128">
        <v>0.2021</v>
      </c>
      <c r="H93" s="1128">
        <f>G93</f>
        <v>0.2021</v>
      </c>
      <c r="I93" s="1128">
        <f>H93</f>
        <v>0.2021</v>
      </c>
      <c r="J93" s="1129">
        <f>I93</f>
        <v>0.2021</v>
      </c>
      <c r="K93" s="535"/>
      <c r="L93" s="328"/>
      <c r="M93" s="262"/>
      <c r="N93" s="262"/>
      <c r="O93" s="262"/>
      <c r="P93" s="262"/>
      <c r="Q93" s="262"/>
      <c r="R93" s="262"/>
      <c r="S93" s="382"/>
    </row>
    <row r="94" spans="1:19" x14ac:dyDescent="0.25">
      <c r="A94" s="207"/>
      <c r="B94" s="471"/>
      <c r="C94" s="136" t="s">
        <v>517</v>
      </c>
      <c r="D94" s="439"/>
      <c r="E94" s="587"/>
      <c r="F94" s="630"/>
      <c r="G94" s="1768">
        <f>'5. T4 RAHOITUSSUUN.'!G57</f>
        <v>0</v>
      </c>
      <c r="H94" s="1768">
        <f>'5. T4 RAHOITUSSUUN.'!H57</f>
        <v>0</v>
      </c>
      <c r="I94" s="1768">
        <f>'5. T4 RAHOITUSSUUN.'!I57</f>
        <v>0</v>
      </c>
      <c r="J94" s="618">
        <f>'5. T4 RAHOITUSSUUN.'!J57</f>
        <v>0</v>
      </c>
      <c r="L94" s="1757"/>
      <c r="M94" s="1758"/>
      <c r="N94" s="1758"/>
      <c r="O94" s="1758"/>
      <c r="P94" s="1758"/>
      <c r="Q94" s="1758"/>
      <c r="R94" s="1758"/>
      <c r="S94" s="384"/>
    </row>
    <row r="95" spans="1:19" x14ac:dyDescent="0.25">
      <c r="A95" s="207"/>
      <c r="B95" s="471"/>
      <c r="C95" s="2076" t="s">
        <v>518</v>
      </c>
      <c r="D95" s="2077"/>
      <c r="E95" s="2078"/>
      <c r="F95" s="630"/>
      <c r="G95" s="1122">
        <f>'5. T4 RAHOITUSSUUN.'!G58</f>
        <v>0</v>
      </c>
      <c r="H95" s="1122">
        <f>'5. T4 RAHOITUSSUUN.'!H58</f>
        <v>0</v>
      </c>
      <c r="I95" s="1122">
        <f>'5. T4 RAHOITUSSUUN.'!I58</f>
        <v>0</v>
      </c>
      <c r="J95" s="1235">
        <f>'5. T4 RAHOITUSSUUN.'!J58</f>
        <v>0</v>
      </c>
      <c r="L95" s="262"/>
      <c r="M95" s="262"/>
      <c r="N95" s="262"/>
      <c r="O95" s="262"/>
      <c r="P95" s="262"/>
      <c r="Q95" s="262"/>
      <c r="R95" s="262"/>
      <c r="S95" s="262"/>
    </row>
    <row r="96" spans="1:19" ht="6" customHeight="1" thickBot="1" x14ac:dyDescent="0.3">
      <c r="A96" s="207"/>
      <c r="B96" s="589"/>
      <c r="C96" s="590"/>
      <c r="D96" s="590"/>
      <c r="E96" s="590"/>
      <c r="F96" s="591"/>
      <c r="G96" s="1123"/>
      <c r="H96" s="1123"/>
      <c r="I96" s="1123"/>
      <c r="J96" s="1124"/>
      <c r="L96" s="262"/>
      <c r="M96" s="262"/>
      <c r="N96" s="262"/>
      <c r="O96" s="262"/>
      <c r="P96" s="262"/>
      <c r="Q96" s="262"/>
      <c r="R96" s="262"/>
      <c r="S96" s="262"/>
    </row>
    <row r="97" spans="1:19" ht="6" customHeight="1" thickBot="1" x14ac:dyDescent="0.3">
      <c r="A97" s="5"/>
      <c r="B97" s="218"/>
      <c r="C97" s="1881"/>
      <c r="D97" s="1882"/>
      <c r="E97" s="219"/>
      <c r="F97" s="1883"/>
      <c r="G97" s="1884"/>
      <c r="H97" s="1884"/>
      <c r="I97" s="1884"/>
      <c r="J97" s="1884"/>
      <c r="K97" s="113"/>
      <c r="L97" s="113"/>
      <c r="M97" s="113"/>
      <c r="N97" s="113"/>
      <c r="O97" s="113"/>
      <c r="P97" s="113"/>
      <c r="Q97" s="113"/>
      <c r="R97" s="113"/>
      <c r="S97" s="113"/>
    </row>
    <row r="98" spans="1:19" ht="13.8" thickBot="1" x14ac:dyDescent="0.3">
      <c r="B98" s="592"/>
      <c r="C98" s="2097" t="s">
        <v>519</v>
      </c>
      <c r="D98" s="2097"/>
      <c r="E98" s="2097"/>
      <c r="F98" s="630" t="s">
        <v>3</v>
      </c>
      <c r="G98" s="1125">
        <f>G56+G62+G66+G67+G74</f>
        <v>0</v>
      </c>
      <c r="H98" s="1125">
        <f>H56+H62+H66+H67+H74</f>
        <v>0</v>
      </c>
      <c r="I98" s="1126">
        <f>I56+I62+I66+I67+I74</f>
        <v>0</v>
      </c>
      <c r="J98" s="1127">
        <f>J56+J62+J66+J67+J74</f>
        <v>0</v>
      </c>
      <c r="K98" s="113"/>
      <c r="L98" s="181" t="str">
        <f>IF(H51&lt;&gt;H98,"TARKISTA TASEEN LOPPUSUMMAT",IF(G51&lt;&gt;G98,"TARKISTA TASEEN LOPPUSUMMAT",IF(I51&lt;&gt;I98,"TARKISTA TASEEN LOPPUSUMMAT",IF(J51&lt;&gt;J98,"TARKISTA TASEEN LOPPUSUMMAT"," "))))</f>
        <v xml:space="preserve"> </v>
      </c>
      <c r="M98" s="113"/>
      <c r="N98" s="113"/>
      <c r="O98" s="113"/>
      <c r="P98" s="113"/>
      <c r="Q98" s="113"/>
      <c r="R98" s="113"/>
      <c r="S98" s="113"/>
    </row>
    <row r="99" spans="1:19" ht="7.5" customHeight="1" x14ac:dyDescent="0.25">
      <c r="B99" s="218"/>
      <c r="C99" s="1881"/>
      <c r="D99" s="1882"/>
      <c r="E99" s="219"/>
      <c r="F99" s="1883"/>
      <c r="G99" s="1883"/>
      <c r="H99" s="1883"/>
      <c r="I99" s="1883"/>
      <c r="J99" s="1883"/>
      <c r="K99" s="113"/>
      <c r="L99" s="181" t="s">
        <v>3</v>
      </c>
      <c r="M99" s="113"/>
      <c r="N99" s="113"/>
      <c r="O99" s="113"/>
      <c r="P99" s="113"/>
      <c r="Q99" s="113"/>
      <c r="R99" s="113"/>
      <c r="S99" s="113"/>
    </row>
    <row r="100" spans="1:19" x14ac:dyDescent="0.25">
      <c r="B100" s="220"/>
      <c r="C100" s="113"/>
      <c r="D100" s="113"/>
      <c r="E100" s="113"/>
      <c r="F100" s="113"/>
      <c r="G100" s="113"/>
      <c r="H100" s="113"/>
      <c r="J100" s="221" t="str">
        <f>'1. T1 INVESTOINTISUUN.'!I64</f>
        <v>Palvelun tarjoavat</v>
      </c>
      <c r="K100" s="113"/>
      <c r="M100" s="113"/>
      <c r="N100" s="113"/>
      <c r="O100" s="113"/>
      <c r="P100" s="113"/>
      <c r="Q100" s="113"/>
      <c r="R100" s="113"/>
      <c r="S100" s="113"/>
    </row>
    <row r="101" spans="1:19" x14ac:dyDescent="0.25">
      <c r="B101" s="1748" t="s">
        <v>3</v>
      </c>
      <c r="J101" s="406" t="str">
        <f>'1. T1 INVESTOINTISUUN.'!I65</f>
        <v>Iisalmi, Lapinlahti, Sonkajärvi, Vieremä</v>
      </c>
    </row>
    <row r="102" spans="1:19" x14ac:dyDescent="0.25">
      <c r="B102" s="1902"/>
      <c r="C102" s="1902"/>
    </row>
    <row r="104" spans="1:19" x14ac:dyDescent="0.25">
      <c r="B104" s="345" t="s">
        <v>87</v>
      </c>
    </row>
    <row r="105" spans="1:19" x14ac:dyDescent="0.25">
      <c r="B105" s="40" t="s">
        <v>88</v>
      </c>
    </row>
    <row r="106" spans="1:19" x14ac:dyDescent="0.25">
      <c r="B106" s="40" t="s">
        <v>89</v>
      </c>
    </row>
  </sheetData>
  <sheetProtection algorithmName="SHA-512" hashValue="OCdMW9canVnxm0m7/8JEVCMhOLfANYlXi/rw31heT7wv8FuzAoavVmnBfYFpqOCT1RH5Tu1xdegyy5ihOIenKA==" saltValue="k9kodDQAW5gzN0h3NHSG7Q==" spinCount="100000" sheet="1" objects="1" scenarios="1"/>
  <mergeCells count="42">
    <mergeCell ref="B2:C3"/>
    <mergeCell ref="C88:E88"/>
    <mergeCell ref="C98:E98"/>
    <mergeCell ref="C74:E74"/>
    <mergeCell ref="B51:E51"/>
    <mergeCell ref="B11:E11"/>
    <mergeCell ref="B54:E54"/>
    <mergeCell ref="C30:E30"/>
    <mergeCell ref="C91:E91"/>
    <mergeCell ref="C90:E90"/>
    <mergeCell ref="C43:E43"/>
    <mergeCell ref="C40:E40"/>
    <mergeCell ref="C45:E45"/>
    <mergeCell ref="C65:E65"/>
    <mergeCell ref="C81:E81"/>
    <mergeCell ref="C46:D46"/>
    <mergeCell ref="C93:E93"/>
    <mergeCell ref="L53:S53"/>
    <mergeCell ref="G6:J6"/>
    <mergeCell ref="C73:E73"/>
    <mergeCell ref="C75:E75"/>
    <mergeCell ref="C68:E68"/>
    <mergeCell ref="C69:E69"/>
    <mergeCell ref="C48:D48"/>
    <mergeCell ref="C44:D44"/>
    <mergeCell ref="B8:C8"/>
    <mergeCell ref="C95:E95"/>
    <mergeCell ref="B102:C102"/>
    <mergeCell ref="L3:M3"/>
    <mergeCell ref="C87:E87"/>
    <mergeCell ref="C85:E85"/>
    <mergeCell ref="C83:E83"/>
    <mergeCell ref="L27:O27"/>
    <mergeCell ref="C47:D47"/>
    <mergeCell ref="C67:E67"/>
    <mergeCell ref="C78:E78"/>
    <mergeCell ref="C66:E66"/>
    <mergeCell ref="L15:O15"/>
    <mergeCell ref="L31:O31"/>
    <mergeCell ref="C59:E59"/>
    <mergeCell ref="L23:O23"/>
    <mergeCell ref="L10:S10"/>
  </mergeCells>
  <printOptions horizontalCentered="1"/>
  <pageMargins left="0.25" right="0.25" top="0.75" bottom="0.75" header="0.3" footer="0.3"/>
  <pageSetup paperSize="9" orientation="portrait" verticalDpi="4" r:id="rId1"/>
  <rowBreaks count="1" manualBreakCount="1">
    <brk id="52" min="1" max="18" man="1"/>
  </rowBreaks>
  <colBreaks count="1" manualBreakCount="1">
    <brk id="10" min="1" max="87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152A1"/>
  </sheetPr>
  <dimension ref="A2:AD129"/>
  <sheetViews>
    <sheetView showGridLines="0" showZeros="0" defaultGridColor="0" colorId="55" zoomScaleNormal="100" workbookViewId="0">
      <selection activeCell="G12" sqref="G12"/>
    </sheetView>
  </sheetViews>
  <sheetFormatPr defaultRowHeight="13.2" x14ac:dyDescent="0.25"/>
  <cols>
    <col min="2" max="2" width="2.88671875" style="32" customWidth="1"/>
    <col min="3" max="3" width="35.109375" customWidth="1"/>
    <col min="4" max="4" width="5.33203125" customWidth="1"/>
    <col min="5" max="5" width="13.109375" customWidth="1"/>
    <col min="6" max="6" width="5.6640625" style="32" customWidth="1"/>
    <col min="7" max="7" width="13.109375" style="4" customWidth="1"/>
    <col min="8" max="8" width="5.6640625" style="32" customWidth="1"/>
    <col min="9" max="9" width="13.109375" customWidth="1"/>
    <col min="10" max="10" width="5.6640625" style="32" customWidth="1"/>
    <col min="11" max="11" width="13.109375" customWidth="1"/>
    <col min="12" max="12" width="5.6640625" style="32" customWidth="1"/>
    <col min="13" max="13" width="13.109375" customWidth="1"/>
    <col min="14" max="14" width="5.6640625" style="32" customWidth="1"/>
    <col min="15" max="15" width="3.33203125" customWidth="1"/>
  </cols>
  <sheetData>
    <row r="2" spans="1:30" ht="15.6" x14ac:dyDescent="0.3">
      <c r="C2" s="19" t="s">
        <v>520</v>
      </c>
      <c r="E2" s="1756"/>
      <c r="P2" s="19" t="s">
        <v>520</v>
      </c>
    </row>
    <row r="3" spans="1:30" x14ac:dyDescent="0.25">
      <c r="E3" s="596"/>
      <c r="P3" s="1925"/>
      <c r="Q3" s="1925"/>
    </row>
    <row r="4" spans="1:30" ht="20.25" customHeight="1" thickBot="1" x14ac:dyDescent="0.3">
      <c r="B4" s="1756" t="s">
        <v>10</v>
      </c>
      <c r="C4" s="34"/>
      <c r="D4" s="34"/>
      <c r="E4" s="34"/>
      <c r="F4" s="1756"/>
      <c r="G4" s="1756" t="s">
        <v>8</v>
      </c>
      <c r="I4" s="1756"/>
      <c r="K4" s="34"/>
      <c r="L4" s="34"/>
      <c r="M4" s="34"/>
      <c r="N4" s="47"/>
      <c r="R4" s="162"/>
    </row>
    <row r="5" spans="1:30" ht="15" customHeight="1" x14ac:dyDescent="0.25">
      <c r="B5" s="2075">
        <f>'1. T1 INVESTOINTISUUN.'!B7:E7</f>
        <v>0</v>
      </c>
      <c r="C5" s="2075"/>
      <c r="D5" s="2075"/>
      <c r="E5" s="1849"/>
      <c r="F5" s="1885"/>
      <c r="G5" s="607">
        <f>'1. T1 INVESTOINTISUUN.'!F4</f>
        <v>0</v>
      </c>
      <c r="H5" s="1849"/>
      <c r="I5" s="2096"/>
      <c r="J5" s="2096"/>
      <c r="K5" s="2096"/>
      <c r="L5" s="2071"/>
      <c r="M5" s="2071"/>
      <c r="N5" s="2071"/>
      <c r="P5" s="1680" t="s">
        <v>140</v>
      </c>
      <c r="Q5" s="1886"/>
      <c r="R5" s="339"/>
      <c r="S5" s="1886"/>
      <c r="T5" s="1886"/>
      <c r="U5" s="1886"/>
      <c r="V5" s="1886"/>
      <c r="W5" s="1886"/>
      <c r="X5" s="1887"/>
      <c r="Y5" s="1887"/>
      <c r="Z5" s="1887"/>
      <c r="AA5" s="1887"/>
      <c r="AB5" s="1887"/>
      <c r="AC5" s="1887"/>
      <c r="AD5" s="1888"/>
    </row>
    <row r="6" spans="1:30" ht="12.75" customHeight="1" thickBot="1" x14ac:dyDescent="0.3">
      <c r="A6" s="41"/>
      <c r="P6" s="332"/>
      <c r="Q6" s="262"/>
      <c r="R6" s="385"/>
      <c r="S6" s="262"/>
      <c r="T6" s="262"/>
      <c r="U6" s="262"/>
      <c r="V6" s="262"/>
      <c r="W6" s="262"/>
      <c r="X6" s="262"/>
      <c r="Y6" s="262"/>
      <c r="Z6" s="262"/>
      <c r="AA6" s="262"/>
      <c r="AB6" s="262"/>
      <c r="AC6" s="262"/>
      <c r="AD6" s="304"/>
    </row>
    <row r="7" spans="1:30" x14ac:dyDescent="0.25">
      <c r="B7" s="2127" t="s">
        <v>3</v>
      </c>
      <c r="C7" s="2128"/>
      <c r="D7" s="2129"/>
      <c r="E7" s="2121"/>
      <c r="F7" s="2122"/>
      <c r="G7" s="2121" t="str">
        <f>'1. T1 INVESTOINTISUUN.'!E15</f>
        <v>Ennuste 1</v>
      </c>
      <c r="H7" s="2122"/>
      <c r="I7" s="2121" t="s">
        <v>20</v>
      </c>
      <c r="J7" s="2122"/>
      <c r="K7" s="2121" t="s">
        <v>21</v>
      </c>
      <c r="L7" s="2122"/>
      <c r="M7" s="2121" t="s">
        <v>22</v>
      </c>
      <c r="N7" s="2122"/>
      <c r="O7" s="4"/>
      <c r="P7" s="332"/>
      <c r="Q7" s="262"/>
      <c r="R7" s="385"/>
      <c r="S7" s="262"/>
      <c r="T7" s="262"/>
      <c r="U7" s="262"/>
      <c r="V7" s="262"/>
      <c r="W7" s="262"/>
      <c r="X7" s="262"/>
      <c r="Y7" s="262"/>
      <c r="Z7" s="262"/>
      <c r="AA7" s="262"/>
      <c r="AB7" s="262"/>
      <c r="AC7" s="262"/>
      <c r="AD7" s="304"/>
    </row>
    <row r="8" spans="1:30" x14ac:dyDescent="0.25">
      <c r="A8" s="41"/>
      <c r="B8" s="2130"/>
      <c r="C8" s="2131"/>
      <c r="D8" s="2132"/>
      <c r="E8" s="2147"/>
      <c r="F8" s="2148"/>
      <c r="G8" s="2118">
        <f>'1. T1 INVESTOINTISUUN.'!E16</f>
        <v>2024</v>
      </c>
      <c r="H8" s="2119"/>
      <c r="I8" s="2118">
        <f>'1. T1 INVESTOINTISUUN.'!F16</f>
        <v>2025</v>
      </c>
      <c r="J8" s="2119"/>
      <c r="K8" s="2118">
        <f>'1. T1 INVESTOINTISUUN.'!G16</f>
        <v>2026</v>
      </c>
      <c r="L8" s="2119"/>
      <c r="M8" s="2118">
        <f>'1. T1 INVESTOINTISUUN.'!H16</f>
        <v>2027</v>
      </c>
      <c r="N8" s="2119"/>
      <c r="O8" s="4"/>
      <c r="P8" s="332"/>
      <c r="Q8" s="262"/>
      <c r="R8" s="385"/>
      <c r="S8" s="262"/>
      <c r="T8" s="262"/>
      <c r="U8" s="262"/>
      <c r="V8" s="262"/>
      <c r="W8" s="262"/>
      <c r="X8" s="262"/>
      <c r="Y8" s="262"/>
      <c r="Z8" s="262"/>
      <c r="AA8" s="262"/>
      <c r="AB8" s="262"/>
      <c r="AC8" s="262"/>
      <c r="AD8" s="304"/>
    </row>
    <row r="9" spans="1:30" x14ac:dyDescent="0.25">
      <c r="A9" s="2"/>
      <c r="B9" s="1794"/>
      <c r="C9" s="1795"/>
      <c r="D9" s="1796"/>
      <c r="E9" s="1367"/>
      <c r="F9" s="1368"/>
      <c r="G9" s="1369" t="s">
        <v>117</v>
      </c>
      <c r="H9" s="1370" t="s">
        <v>142</v>
      </c>
      <c r="I9" s="1369" t="s">
        <v>117</v>
      </c>
      <c r="J9" s="1370" t="s">
        <v>142</v>
      </c>
      <c r="K9" s="1369" t="s">
        <v>117</v>
      </c>
      <c r="L9" s="1370" t="s">
        <v>142</v>
      </c>
      <c r="M9" s="1369" t="s">
        <v>117</v>
      </c>
      <c r="N9" s="1370" t="s">
        <v>142</v>
      </c>
      <c r="O9" s="4"/>
      <c r="P9" s="332"/>
      <c r="Q9" s="262"/>
      <c r="R9" s="262"/>
      <c r="S9" s="262"/>
      <c r="T9" s="156"/>
      <c r="U9" s="156"/>
      <c r="V9" s="156"/>
      <c r="W9" s="292"/>
      <c r="X9" s="292"/>
      <c r="Y9" s="292"/>
      <c r="Z9" s="292"/>
      <c r="AA9" s="292"/>
      <c r="AB9" s="292"/>
      <c r="AC9" s="292"/>
      <c r="AD9" s="329"/>
    </row>
    <row r="10" spans="1:30" ht="13.8" thickBot="1" x14ac:dyDescent="0.3">
      <c r="A10" s="41"/>
      <c r="B10" s="1371"/>
      <c r="C10" s="1372"/>
      <c r="D10" s="1378" t="s">
        <v>143</v>
      </c>
      <c r="E10" s="1373" t="s">
        <v>3</v>
      </c>
      <c r="F10" s="1374"/>
      <c r="G10" s="1375">
        <f>'3. E1 KUSTANNUKSET'!D10</f>
        <v>12</v>
      </c>
      <c r="H10" s="1376"/>
      <c r="I10" s="1375" t="s">
        <v>521</v>
      </c>
      <c r="J10" s="1376"/>
      <c r="K10" s="1375" t="s">
        <v>521</v>
      </c>
      <c r="L10" s="1376"/>
      <c r="M10" s="1375" t="s">
        <v>521</v>
      </c>
      <c r="N10" s="1377"/>
      <c r="O10" s="4"/>
      <c r="P10" s="2114" t="s">
        <v>522</v>
      </c>
      <c r="Q10" s="2115"/>
      <c r="R10" s="2115"/>
      <c r="S10" s="2115"/>
      <c r="T10" s="156"/>
      <c r="U10" s="156"/>
      <c r="V10" s="156"/>
      <c r="W10" s="292"/>
      <c r="X10" s="292"/>
      <c r="Y10" s="292"/>
      <c r="Z10" s="292"/>
      <c r="AA10" s="292"/>
      <c r="AB10" s="292"/>
      <c r="AC10" s="292"/>
      <c r="AD10" s="329"/>
    </row>
    <row r="11" spans="1:30" s="41" customFormat="1" ht="12.6" customHeight="1" x14ac:dyDescent="0.25">
      <c r="A11"/>
      <c r="B11" s="276" t="s">
        <v>24</v>
      </c>
      <c r="C11" s="504" t="s">
        <v>274</v>
      </c>
      <c r="D11" s="278" t="s">
        <v>345</v>
      </c>
      <c r="E11" s="1144"/>
      <c r="F11" s="667"/>
      <c r="G11" s="892">
        <f>'4. E2 LIIKEVAIHTO'!E64</f>
        <v>0</v>
      </c>
      <c r="H11" s="674">
        <v>0</v>
      </c>
      <c r="I11" s="892">
        <f>'4. E2 LIIKEVAIHTO'!F64</f>
        <v>0</v>
      </c>
      <c r="J11" s="674">
        <v>0</v>
      </c>
      <c r="K11" s="892">
        <f>'4. E2 LIIKEVAIHTO'!G64</f>
        <v>0</v>
      </c>
      <c r="L11" s="674">
        <v>0</v>
      </c>
      <c r="M11" s="892">
        <f>'4. E2 LIIKEVAIHTO'!H64</f>
        <v>0</v>
      </c>
      <c r="N11" s="674">
        <v>0</v>
      </c>
      <c r="O11" s="136"/>
      <c r="P11" s="676"/>
      <c r="Q11" s="237">
        <f>I8</f>
        <v>2025</v>
      </c>
      <c r="R11" s="237">
        <f>K$8</f>
        <v>2026</v>
      </c>
      <c r="S11" s="237">
        <f>M$8</f>
        <v>2027</v>
      </c>
      <c r="T11" s="332"/>
      <c r="U11" s="262"/>
      <c r="V11" s="262"/>
      <c r="W11" s="262"/>
      <c r="X11" s="262"/>
      <c r="Y11" s="262"/>
      <c r="Z11" s="262"/>
      <c r="AA11" s="262"/>
      <c r="AB11" s="262"/>
      <c r="AC11" s="262"/>
      <c r="AD11" s="304"/>
    </row>
    <row r="12" spans="1:30" s="41" customFormat="1" ht="12.6" customHeight="1" x14ac:dyDescent="0.25">
      <c r="B12" s="263" t="s">
        <v>28</v>
      </c>
      <c r="C12" s="264" t="s">
        <v>523</v>
      </c>
      <c r="D12" s="265" t="s">
        <v>345</v>
      </c>
      <c r="E12" s="1145"/>
      <c r="F12" s="668"/>
      <c r="G12" s="893">
        <v>0</v>
      </c>
      <c r="H12" s="675"/>
      <c r="I12" s="893">
        <f>G12+G12*Q12</f>
        <v>0</v>
      </c>
      <c r="J12" s="675"/>
      <c r="K12" s="893">
        <f>I12+I12*R12</f>
        <v>0</v>
      </c>
      <c r="L12" s="675"/>
      <c r="M12" s="893">
        <f>K12+K12*S12</f>
        <v>0</v>
      </c>
      <c r="N12" s="675"/>
      <c r="O12" s="136"/>
      <c r="P12" s="677"/>
      <c r="Q12" s="331">
        <v>0</v>
      </c>
      <c r="R12" s="331">
        <f>Q12</f>
        <v>0</v>
      </c>
      <c r="S12" s="331">
        <f>R12</f>
        <v>0</v>
      </c>
      <c r="T12" s="332"/>
      <c r="U12" s="262"/>
      <c r="V12" s="262"/>
      <c r="W12" s="262"/>
      <c r="X12" s="262"/>
      <c r="Y12" s="262"/>
      <c r="Z12" s="262"/>
      <c r="AA12" s="262"/>
      <c r="AB12" s="262"/>
      <c r="AC12" s="262"/>
      <c r="AD12" s="304"/>
    </row>
    <row r="13" spans="1:30" s="41" customFormat="1" ht="12.6" customHeight="1" x14ac:dyDescent="0.25">
      <c r="B13" s="263" t="s">
        <v>32</v>
      </c>
      <c r="C13" s="264" t="s">
        <v>524</v>
      </c>
      <c r="D13" s="265"/>
      <c r="E13" s="1145"/>
      <c r="F13" s="668"/>
      <c r="G13" s="893"/>
      <c r="H13" s="675"/>
      <c r="I13" s="893"/>
      <c r="J13" s="675"/>
      <c r="K13" s="893"/>
      <c r="L13" s="675"/>
      <c r="M13" s="893"/>
      <c r="N13" s="675"/>
      <c r="O13" s="136"/>
      <c r="P13" s="461"/>
      <c r="Q13" s="462"/>
      <c r="R13" s="462"/>
      <c r="S13" s="462"/>
      <c r="T13" s="262"/>
      <c r="U13" s="262"/>
      <c r="V13" s="262"/>
      <c r="W13" s="262"/>
      <c r="X13" s="262"/>
      <c r="Y13" s="262"/>
      <c r="Z13" s="262"/>
      <c r="AA13" s="262"/>
      <c r="AB13" s="262"/>
      <c r="AC13" s="262"/>
      <c r="AD13" s="304"/>
    </row>
    <row r="14" spans="1:30" s="38" customFormat="1" ht="12.6" customHeight="1" x14ac:dyDescent="0.25">
      <c r="A14" s="41"/>
      <c r="B14" s="263" t="s">
        <v>34</v>
      </c>
      <c r="C14" s="266" t="s">
        <v>525</v>
      </c>
      <c r="D14" s="267"/>
      <c r="E14" s="669"/>
      <c r="F14" s="670"/>
      <c r="G14" s="894">
        <f>G11+G12+G13</f>
        <v>0</v>
      </c>
      <c r="H14" s="268">
        <v>100</v>
      </c>
      <c r="I14" s="894">
        <f>I11+I12+I13</f>
        <v>0</v>
      </c>
      <c r="J14" s="268">
        <v>100</v>
      </c>
      <c r="K14" s="894">
        <f>K11+K12+K13</f>
        <v>0</v>
      </c>
      <c r="L14" s="268">
        <v>100</v>
      </c>
      <c r="M14" s="894">
        <f>M11+M12+M13</f>
        <v>0</v>
      </c>
      <c r="N14" s="268">
        <v>100</v>
      </c>
      <c r="O14" s="136"/>
      <c r="P14" s="332"/>
      <c r="Q14" s="262"/>
      <c r="R14" s="262"/>
      <c r="S14" s="262"/>
      <c r="T14" s="262"/>
      <c r="U14" s="262"/>
      <c r="V14" s="262"/>
      <c r="W14" s="262"/>
      <c r="X14" s="262"/>
      <c r="Y14" s="262"/>
      <c r="Z14" s="262"/>
      <c r="AA14" s="262"/>
      <c r="AB14" s="262"/>
      <c r="AC14" s="262"/>
      <c r="AD14" s="304"/>
    </row>
    <row r="15" spans="1:30" s="41" customFormat="1" ht="12.6" customHeight="1" x14ac:dyDescent="0.25">
      <c r="A15"/>
      <c r="B15" s="263" t="s">
        <v>36</v>
      </c>
      <c r="C15" s="264" t="s">
        <v>526</v>
      </c>
      <c r="D15" s="265" t="s">
        <v>422</v>
      </c>
      <c r="E15" s="1145"/>
      <c r="F15" s="668"/>
      <c r="G15" s="895">
        <f>-'4. E2 LIIKEVAIHTO'!E65</f>
        <v>0</v>
      </c>
      <c r="H15" s="269">
        <f>-IF(G$14&gt;0,G15/G$14*100,0)</f>
        <v>0</v>
      </c>
      <c r="I15" s="895">
        <f>-'4. E2 LIIKEVAIHTO'!F65</f>
        <v>0</v>
      </c>
      <c r="J15" s="269">
        <f>-IF(I$14&gt;0,I15/I$14*100,0)</f>
        <v>0</v>
      </c>
      <c r="K15" s="895">
        <f>-'4. E2 LIIKEVAIHTO'!G65</f>
        <v>0</v>
      </c>
      <c r="L15" s="269">
        <f>-IF(K$14&gt;0,K15/K$14*100,0)</f>
        <v>0</v>
      </c>
      <c r="M15" s="895">
        <f>-'4. E2 LIIKEVAIHTO'!H65</f>
        <v>0</v>
      </c>
      <c r="N15" s="269">
        <f>-IF(M$14&gt;0,M15/M$14*100,0)</f>
        <v>0</v>
      </c>
      <c r="O15" s="136"/>
      <c r="P15" s="332"/>
      <c r="Q15" s="262"/>
      <c r="R15" s="262"/>
      <c r="S15" s="262"/>
      <c r="T15" s="262"/>
      <c r="U15" s="262"/>
      <c r="V15" s="262"/>
      <c r="W15" s="262"/>
      <c r="X15" s="262"/>
      <c r="Y15" s="262"/>
      <c r="Z15" s="262"/>
      <c r="AA15" s="262"/>
      <c r="AB15" s="262"/>
      <c r="AC15" s="262"/>
      <c r="AD15" s="304"/>
    </row>
    <row r="16" spans="1:30" s="41" customFormat="1" ht="12.6" customHeight="1" x14ac:dyDescent="0.25">
      <c r="B16" s="263" t="s">
        <v>38</v>
      </c>
      <c r="C16" s="264" t="s">
        <v>527</v>
      </c>
      <c r="D16" s="265" t="s">
        <v>422</v>
      </c>
      <c r="E16" s="1145"/>
      <c r="F16" s="668"/>
      <c r="G16" s="893">
        <v>0</v>
      </c>
      <c r="H16" s="269">
        <f>-IF(G$14&gt;0,G16/G$14*100,0)</f>
        <v>0</v>
      </c>
      <c r="I16" s="895">
        <f>-J16*I14/100</f>
        <v>0</v>
      </c>
      <c r="J16" s="270">
        <f>H16</f>
        <v>0</v>
      </c>
      <c r="K16" s="895">
        <f>-L16*K14/100</f>
        <v>0</v>
      </c>
      <c r="L16" s="270">
        <f>J16</f>
        <v>0</v>
      </c>
      <c r="M16" s="895">
        <f>-N16*M14/100</f>
        <v>0</v>
      </c>
      <c r="N16" s="270">
        <f>L16</f>
        <v>0</v>
      </c>
      <c r="O16" s="136"/>
      <c r="P16" s="332"/>
      <c r="Q16" s="262"/>
      <c r="R16" s="262"/>
      <c r="S16" s="262"/>
      <c r="T16" s="262"/>
      <c r="U16" s="262"/>
      <c r="V16" s="262"/>
      <c r="W16" s="262"/>
      <c r="X16" s="262"/>
      <c r="Y16" s="262"/>
      <c r="Z16" s="262"/>
      <c r="AA16" s="262"/>
      <c r="AB16" s="262"/>
      <c r="AC16" s="262"/>
      <c r="AD16" s="304"/>
    </row>
    <row r="17" spans="1:30" s="41" customFormat="1" ht="12.6" customHeight="1" x14ac:dyDescent="0.25">
      <c r="A17"/>
      <c r="B17" s="263" t="s">
        <v>40</v>
      </c>
      <c r="C17" s="264" t="s">
        <v>528</v>
      </c>
      <c r="D17" s="265" t="s">
        <v>422</v>
      </c>
      <c r="E17" s="1145"/>
      <c r="F17" s="668"/>
      <c r="G17" s="895">
        <f>-'3. E1 KUSTANNUKSET'!D44-'6. T3 TASE'!G92-'6. T3 TASE'!G91</f>
        <v>0</v>
      </c>
      <c r="H17" s="269">
        <f>-IF(G$14&gt;0,G17/G$14*100,0)</f>
        <v>0</v>
      </c>
      <c r="I17" s="895">
        <f>-'3. E1 KUSTANNUKSET'!F44-('6. T3 TASE'!H92-'6. T3 TASE'!G92)-('6. T3 TASE'!H91-'6. T3 TASE'!G91)</f>
        <v>0</v>
      </c>
      <c r="J17" s="269">
        <f>-IF(I$14&gt;0,I17/I$14*100,0)</f>
        <v>0</v>
      </c>
      <c r="K17" s="895">
        <f>-'3. E1 KUSTANNUKSET'!H44-('6. T3 TASE'!I92-'6. T3 TASE'!H92)-('6. T3 TASE'!I91-'6. T3 TASE'!H91)</f>
        <v>0</v>
      </c>
      <c r="L17" s="269">
        <f>-IF(K$14&gt;0,K17/K$14*100,0)</f>
        <v>0</v>
      </c>
      <c r="M17" s="895">
        <f>-'3. E1 KUSTANNUKSET'!J44-('6. T3 TASE'!J92-'6. T3 TASE'!I92)-('6. T3 TASE'!J91-'6. T3 TASE'!I91)</f>
        <v>0</v>
      </c>
      <c r="N17" s="269">
        <f>-IF(M$14&gt;0,M17/M$14*100,0)</f>
        <v>0</v>
      </c>
      <c r="O17" s="136"/>
      <c r="P17" s="332"/>
      <c r="Q17" s="262"/>
      <c r="R17" s="262"/>
      <c r="S17" s="262"/>
      <c r="T17" s="262"/>
      <c r="U17" s="262"/>
      <c r="V17" s="262"/>
      <c r="W17" s="262"/>
      <c r="X17" s="262"/>
      <c r="Y17" s="262"/>
      <c r="Z17" s="262"/>
      <c r="AA17" s="262"/>
      <c r="AB17" s="262"/>
      <c r="AC17" s="262"/>
      <c r="AD17" s="304"/>
    </row>
    <row r="18" spans="1:30" s="41" customFormat="1" ht="12.6" customHeight="1" x14ac:dyDescent="0.25">
      <c r="B18" s="263" t="s">
        <v>42</v>
      </c>
      <c r="C18" s="271" t="s">
        <v>529</v>
      </c>
      <c r="D18" s="265" t="s">
        <v>422</v>
      </c>
      <c r="E18" s="1145"/>
      <c r="F18" s="668"/>
      <c r="G18" s="895">
        <f>-'3. E1 KUSTANNUKSET'!D45</f>
        <v>0</v>
      </c>
      <c r="H18" s="269">
        <f>-IF(G$14&gt;0,G18/G$14*100,0)</f>
        <v>0</v>
      </c>
      <c r="I18" s="895">
        <f>-'3. E1 KUSTANNUKSET'!F45</f>
        <v>0</v>
      </c>
      <c r="J18" s="269">
        <f>-IF(I$14&gt;0,I18/I$14*100,0)</f>
        <v>0</v>
      </c>
      <c r="K18" s="895">
        <f>-'3. E1 KUSTANNUKSET'!H45</f>
        <v>0</v>
      </c>
      <c r="L18" s="269">
        <f>-IF(K$14&gt;0,K18/K$14*100,0)</f>
        <v>0</v>
      </c>
      <c r="M18" s="895">
        <f>-'3. E1 KUSTANNUKSET'!J45</f>
        <v>0</v>
      </c>
      <c r="N18" s="269">
        <f>-IF(M$14&gt;0,M18/M$14*100,0)</f>
        <v>0</v>
      </c>
      <c r="O18" s="136"/>
      <c r="P18" s="332"/>
      <c r="Q18" s="262"/>
      <c r="R18" s="262"/>
      <c r="S18" s="262"/>
      <c r="T18" s="262"/>
      <c r="U18" s="262"/>
      <c r="V18" s="262"/>
      <c r="W18" s="262"/>
      <c r="X18" s="262"/>
      <c r="Y18" s="262"/>
      <c r="Z18" s="262"/>
      <c r="AA18" s="262"/>
      <c r="AB18" s="262"/>
      <c r="AC18" s="262"/>
      <c r="AD18" s="304"/>
    </row>
    <row r="19" spans="1:30" s="41" customFormat="1" ht="12.6" customHeight="1" x14ac:dyDescent="0.25">
      <c r="A19" s="2"/>
      <c r="B19" s="263" t="s">
        <v>44</v>
      </c>
      <c r="C19" s="271" t="s">
        <v>530</v>
      </c>
      <c r="D19" s="272" t="s">
        <v>531</v>
      </c>
      <c r="E19" s="1145"/>
      <c r="F19" s="668"/>
      <c r="G19" s="896">
        <v>0</v>
      </c>
      <c r="H19" s="269">
        <f>IF(G$14&gt;0,G19/G$14*100,0)</f>
        <v>0</v>
      </c>
      <c r="I19" s="895">
        <f>'6. T3 TASE'!H39-'6. T3 TASE'!G39</f>
        <v>0</v>
      </c>
      <c r="J19" s="269">
        <f>IF(I$14&gt;0,I19/I$14*100,0)</f>
        <v>0</v>
      </c>
      <c r="K19" s="895">
        <f>'6. T3 TASE'!I39-'6. T3 TASE'!H39</f>
        <v>0</v>
      </c>
      <c r="L19" s="269">
        <f>IF(K$14&gt;0,K19/K$14*100,0)</f>
        <v>0</v>
      </c>
      <c r="M19" s="895">
        <f>'6. T3 TASE'!J39-'6. T3 TASE'!I39</f>
        <v>0</v>
      </c>
      <c r="N19" s="269">
        <f>IF(M$14&gt;0,M19/M$14*100,0)</f>
        <v>0</v>
      </c>
      <c r="O19" s="136"/>
      <c r="P19" s="332"/>
      <c r="Q19" s="262"/>
      <c r="R19" s="262"/>
      <c r="S19" s="262"/>
      <c r="T19" s="262"/>
      <c r="U19" s="262"/>
      <c r="V19" s="262"/>
      <c r="W19" s="262"/>
      <c r="X19" s="262"/>
      <c r="Y19" s="262"/>
      <c r="Z19" s="262"/>
      <c r="AA19" s="262"/>
      <c r="AB19" s="262"/>
      <c r="AC19" s="262"/>
      <c r="AD19" s="304"/>
    </row>
    <row r="20" spans="1:30" s="41" customFormat="1" ht="12.6" customHeight="1" x14ac:dyDescent="0.25">
      <c r="A20"/>
      <c r="B20" s="263" t="s">
        <v>46</v>
      </c>
      <c r="C20" s="273" t="s">
        <v>532</v>
      </c>
      <c r="D20" s="274"/>
      <c r="E20" s="669"/>
      <c r="F20" s="668"/>
      <c r="G20" s="894">
        <f>SUM(G14:G19)</f>
        <v>0</v>
      </c>
      <c r="H20" s="269">
        <f>IF(G$14&gt;0,G20/G$14*100,0)</f>
        <v>0</v>
      </c>
      <c r="I20" s="894">
        <f>SUM(I14:I19)</f>
        <v>0</v>
      </c>
      <c r="J20" s="269">
        <f>IF(I$14&gt;0,I20/I$14*100,0)</f>
        <v>0</v>
      </c>
      <c r="K20" s="894">
        <f>SUM(K14:K19)</f>
        <v>0</v>
      </c>
      <c r="L20" s="269">
        <f>IF(K$14&gt;0,K20/K$14*100,0)</f>
        <v>0</v>
      </c>
      <c r="M20" s="894">
        <f>SUM(M14:M19)</f>
        <v>0</v>
      </c>
      <c r="N20" s="269">
        <f>IF(M$14&gt;0,M20/M$14*100,0)</f>
        <v>0</v>
      </c>
      <c r="O20" s="136"/>
      <c r="P20" s="332"/>
      <c r="Q20" s="262"/>
      <c r="R20" s="262"/>
      <c r="S20" s="262"/>
      <c r="T20" s="262"/>
      <c r="U20" s="262"/>
      <c r="V20" s="262"/>
      <c r="W20" s="262"/>
      <c r="X20" s="262"/>
      <c r="Y20" s="262"/>
      <c r="Z20" s="262"/>
      <c r="AA20" s="262"/>
      <c r="AB20" s="262"/>
      <c r="AC20" s="262"/>
      <c r="AD20" s="304"/>
    </row>
    <row r="21" spans="1:30" s="41" customFormat="1" ht="12.6" customHeight="1" x14ac:dyDescent="0.25">
      <c r="A21"/>
      <c r="B21" s="263" t="s">
        <v>50</v>
      </c>
      <c r="C21" s="271" t="s">
        <v>533</v>
      </c>
      <c r="D21" s="265" t="s">
        <v>422</v>
      </c>
      <c r="E21" s="1145"/>
      <c r="F21" s="668"/>
      <c r="G21" s="895">
        <f>-('6. T3 TASE'!G17+'6. T3 TASE'!G25+'6. T3 TASE'!G29+'6. T3 TASE'!G33)</f>
        <v>0</v>
      </c>
      <c r="H21" s="269">
        <f>-IF(G$14&gt;0,G21/G$14*100,0)</f>
        <v>0</v>
      </c>
      <c r="I21" s="895">
        <f>-('6. T3 TASE'!H17+'6. T3 TASE'!H25+'6. T3 TASE'!H29+'6. T3 TASE'!H33)</f>
        <v>0</v>
      </c>
      <c r="J21" s="269">
        <f>-IF(I$14&gt;0,I21/I$14*100,0)</f>
        <v>0</v>
      </c>
      <c r="K21" s="895">
        <f>-('6. T3 TASE'!I17+'6. T3 TASE'!I25+'6. T3 TASE'!I29+'6. T3 TASE'!I33)</f>
        <v>0</v>
      </c>
      <c r="L21" s="269">
        <f>-IF(K$14&gt;0,K21/K$14*100,0)</f>
        <v>0</v>
      </c>
      <c r="M21" s="895">
        <f>-('6. T3 TASE'!J17+'6. T3 TASE'!J25+'6. T3 TASE'!J29+'6. T3 TASE'!J33)</f>
        <v>0</v>
      </c>
      <c r="N21" s="269">
        <f>-IF(M$14&gt;0,M21/M$14*100,0)</f>
        <v>0</v>
      </c>
      <c r="O21" s="136"/>
      <c r="P21" s="332"/>
      <c r="Q21" s="262"/>
      <c r="R21" s="262"/>
      <c r="S21" s="262"/>
      <c r="T21" s="262"/>
      <c r="U21" s="262"/>
      <c r="V21" s="262"/>
      <c r="W21" s="262"/>
      <c r="X21" s="262"/>
      <c r="Y21" s="262"/>
      <c r="Z21" s="262"/>
      <c r="AA21" s="262"/>
      <c r="AB21" s="262"/>
      <c r="AC21" s="262"/>
      <c r="AD21" s="304"/>
    </row>
    <row r="22" spans="1:30" s="41" customFormat="1" ht="12.6" customHeight="1" x14ac:dyDescent="0.25">
      <c r="A22"/>
      <c r="B22" s="263" t="s">
        <v>54</v>
      </c>
      <c r="C22" s="273" t="s">
        <v>534</v>
      </c>
      <c r="D22" s="275"/>
      <c r="E22" s="669"/>
      <c r="F22" s="668"/>
      <c r="G22" s="894">
        <f>SUM(G20:G21)</f>
        <v>0</v>
      </c>
      <c r="H22" s="269">
        <f>IF(G$14&gt;0,G22/G$14*100,0)</f>
        <v>0</v>
      </c>
      <c r="I22" s="894">
        <f>SUM(I20:I21)</f>
        <v>0</v>
      </c>
      <c r="J22" s="269">
        <f>IF(I$14&gt;0,I22/I$14*100,0)</f>
        <v>0</v>
      </c>
      <c r="K22" s="894">
        <f>SUM(K20:K21)</f>
        <v>0</v>
      </c>
      <c r="L22" s="269">
        <f>IF(K$14&gt;0,K22/K$14*100,0)</f>
        <v>0</v>
      </c>
      <c r="M22" s="894">
        <f>SUM(M20:M21)</f>
        <v>0</v>
      </c>
      <c r="N22" s="269">
        <f>IF(M$14&gt;0,M22/M$14*100,0)</f>
        <v>0</v>
      </c>
      <c r="O22" s="136"/>
      <c r="P22" s="332"/>
      <c r="Q22" s="262"/>
      <c r="R22" s="262"/>
      <c r="S22" s="262"/>
      <c r="T22" s="262"/>
      <c r="U22" s="262"/>
      <c r="V22" s="262"/>
      <c r="W22" s="262"/>
      <c r="X22" s="262"/>
      <c r="Y22" s="262"/>
      <c r="Z22" s="262"/>
      <c r="AA22" s="262"/>
      <c r="AB22" s="262"/>
      <c r="AC22" s="262"/>
      <c r="AD22" s="304"/>
    </row>
    <row r="23" spans="1:30" s="41" customFormat="1" ht="12.6" customHeight="1" x14ac:dyDescent="0.25">
      <c r="A23"/>
      <c r="B23" s="263" t="s">
        <v>56</v>
      </c>
      <c r="C23" s="271" t="s">
        <v>535</v>
      </c>
      <c r="D23" s="265" t="s">
        <v>345</v>
      </c>
      <c r="E23" s="1145"/>
      <c r="F23" s="1146"/>
      <c r="G23" s="893">
        <v>0</v>
      </c>
      <c r="H23" s="336">
        <f>IF(G$14&gt;0,G23/G$14*100,0)</f>
        <v>0</v>
      </c>
      <c r="I23" s="893">
        <v>0</v>
      </c>
      <c r="J23" s="336">
        <f>IF(I$14&gt;0,I23/I$14*100,0)</f>
        <v>0</v>
      </c>
      <c r="K23" s="893"/>
      <c r="L23" s="336">
        <f>IF(K$14&gt;0,K23/K$14*100,0)</f>
        <v>0</v>
      </c>
      <c r="M23" s="893"/>
      <c r="N23" s="336">
        <f>IF(M$14&gt;0,M23/M$14*100,0)</f>
        <v>0</v>
      </c>
      <c r="O23" s="136"/>
      <c r="P23" s="332"/>
      <c r="Q23" s="262"/>
      <c r="R23" s="262"/>
      <c r="S23" s="262"/>
      <c r="T23" s="262"/>
      <c r="U23" s="262"/>
      <c r="V23" s="262"/>
      <c r="W23" s="262"/>
      <c r="X23" s="262"/>
      <c r="Y23" s="262"/>
      <c r="Z23" s="262"/>
      <c r="AA23" s="262"/>
      <c r="AB23" s="262"/>
      <c r="AC23" s="262"/>
      <c r="AD23" s="304"/>
    </row>
    <row r="24" spans="1:30" s="41" customFormat="1" ht="12.6" customHeight="1" x14ac:dyDescent="0.25">
      <c r="A24"/>
      <c r="B24" s="276" t="s">
        <v>58</v>
      </c>
      <c r="C24" s="277" t="s">
        <v>536</v>
      </c>
      <c r="D24" s="278" t="s">
        <v>345</v>
      </c>
      <c r="E24" s="1145"/>
      <c r="F24" s="1146"/>
      <c r="G24" s="893">
        <v>0</v>
      </c>
      <c r="H24" s="336">
        <f>IF(G$14&gt;0,G24/G$14*100,0)</f>
        <v>0</v>
      </c>
      <c r="I24" s="893">
        <v>0</v>
      </c>
      <c r="J24" s="336">
        <f>IF(I$14&gt;0,I24/I$14*100,0)</f>
        <v>0</v>
      </c>
      <c r="K24" s="893">
        <v>0</v>
      </c>
      <c r="L24" s="336">
        <f>IF(K$14&gt;0,K24/K$14*100,0)</f>
        <v>0</v>
      </c>
      <c r="M24" s="893">
        <v>0</v>
      </c>
      <c r="N24" s="336">
        <f>IF(M$14&gt;0,M24/M$14*100,0)</f>
        <v>0</v>
      </c>
      <c r="O24" s="136"/>
      <c r="P24" s="332"/>
      <c r="Q24" s="262"/>
      <c r="R24" s="262"/>
      <c r="S24" s="262"/>
      <c r="T24" s="262"/>
      <c r="U24" s="262"/>
      <c r="V24" s="262"/>
      <c r="W24" s="262"/>
      <c r="X24" s="262"/>
      <c r="Y24" s="262"/>
      <c r="Z24" s="262"/>
      <c r="AA24" s="262"/>
      <c r="AB24" s="262"/>
      <c r="AC24" s="262"/>
      <c r="AD24" s="304"/>
    </row>
    <row r="25" spans="1:30" s="41" customFormat="1" ht="12.6" customHeight="1" x14ac:dyDescent="0.25">
      <c r="A25"/>
      <c r="B25" s="263" t="s">
        <v>66</v>
      </c>
      <c r="C25" s="264" t="s">
        <v>537</v>
      </c>
      <c r="D25" s="265" t="s">
        <v>422</v>
      </c>
      <c r="E25" s="1145"/>
      <c r="F25" s="668"/>
      <c r="G25" s="895">
        <f>-'2. T7 LAINAT'!H48</f>
        <v>0</v>
      </c>
      <c r="H25" s="269">
        <f>-IF(G$14&gt;0,G25/G$14*100,0)</f>
        <v>0</v>
      </c>
      <c r="I25" s="895">
        <f>-'2. T7 LAINAT'!K48</f>
        <v>0</v>
      </c>
      <c r="J25" s="269">
        <f>-IF(I$14&gt;0,I25/I$14*100,0)</f>
        <v>0</v>
      </c>
      <c r="K25" s="895">
        <f>-'2. T7 LAINAT'!N48</f>
        <v>0</v>
      </c>
      <c r="L25" s="269">
        <f>-IF(K$14&gt;0,K25/K$14*100,0)</f>
        <v>0</v>
      </c>
      <c r="M25" s="895">
        <f>-'2. T7 LAINAT'!Q48</f>
        <v>0</v>
      </c>
      <c r="N25" s="269">
        <f>-IF(M$14&gt;0,M25/M$14*100,0)</f>
        <v>0</v>
      </c>
      <c r="O25" s="136"/>
      <c r="P25" s="332"/>
      <c r="Q25" s="262"/>
      <c r="R25" s="262"/>
      <c r="S25" s="262"/>
      <c r="T25" s="262"/>
      <c r="U25" s="262"/>
      <c r="V25" s="262"/>
      <c r="W25" s="262"/>
      <c r="X25" s="262"/>
      <c r="Y25" s="262"/>
      <c r="Z25" s="262"/>
      <c r="AA25" s="262"/>
      <c r="AB25" s="262"/>
      <c r="AC25" s="262"/>
      <c r="AD25" s="304"/>
    </row>
    <row r="26" spans="1:30" s="41" customFormat="1" ht="23.7" customHeight="1" x14ac:dyDescent="0.25">
      <c r="A26"/>
      <c r="B26" s="263" t="s">
        <v>68</v>
      </c>
      <c r="C26" s="2141" t="s">
        <v>538</v>
      </c>
      <c r="D26" s="2142"/>
      <c r="E26" s="671"/>
      <c r="F26" s="668"/>
      <c r="G26" s="897">
        <f>SUM(G22:G25)</f>
        <v>0</v>
      </c>
      <c r="H26" s="437">
        <f>IF(G$14&gt;0,G26/G$14*100,0)</f>
        <v>0</v>
      </c>
      <c r="I26" s="897">
        <f>SUM(I22:I25)</f>
        <v>0</v>
      </c>
      <c r="J26" s="437">
        <f>IF(I$14&gt;0,I26/I$14*100,0)</f>
        <v>0</v>
      </c>
      <c r="K26" s="897">
        <f>SUM(K22:K25)</f>
        <v>0</v>
      </c>
      <c r="L26" s="437">
        <f>IF(K$14&gt;0,K26/K$14*100,0)</f>
        <v>0</v>
      </c>
      <c r="M26" s="897">
        <f>SUM(M22:M25)</f>
        <v>0</v>
      </c>
      <c r="N26" s="269">
        <f>IF(M$14&gt;0,M26/M$14*100,0)</f>
        <v>0</v>
      </c>
      <c r="O26" s="136"/>
      <c r="P26" s="332"/>
      <c r="Q26" s="262"/>
      <c r="R26" s="262"/>
      <c r="S26" s="262"/>
      <c r="T26" s="262"/>
      <c r="U26" s="262"/>
      <c r="V26" s="262"/>
      <c r="W26" s="262"/>
      <c r="X26" s="262"/>
      <c r="Y26" s="262"/>
      <c r="Z26" s="262"/>
      <c r="AA26" s="262"/>
      <c r="AB26" s="262"/>
      <c r="AC26" s="262"/>
      <c r="AD26" s="304"/>
    </row>
    <row r="27" spans="1:30" s="41" customFormat="1" ht="12.6" customHeight="1" x14ac:dyDescent="0.25">
      <c r="A27"/>
      <c r="B27" s="263" t="s">
        <v>71</v>
      </c>
      <c r="C27" s="264" t="s">
        <v>539</v>
      </c>
      <c r="D27" s="265" t="s">
        <v>422</v>
      </c>
      <c r="E27" s="1147"/>
      <c r="F27" s="1146"/>
      <c r="G27" s="898">
        <f>-IF(G28*(G26+G29+G30+0.5*'3. E1 KUSTANNUKSET'!D93)&lt;0,0,G28*(G26+G29+G30+0.5*'3. E1 KUSTANNUKSET'!D93))</f>
        <v>0</v>
      </c>
      <c r="H27" s="269">
        <f>-IF(G$14&gt;0,G27/G$14*100,0)</f>
        <v>0</v>
      </c>
      <c r="I27" s="898">
        <f>-IF(I28*(I26+I29+I30+0.5*'3. E1 KUSTANNUKSET'!F93)&lt;0,0,I28*(I26+I29+I30+0.5*'3. E1 KUSTANNUKSET'!F93))</f>
        <v>0</v>
      </c>
      <c r="J27" s="269">
        <f>-IF(I$14&gt;0,I27/I$14*100,0)</f>
        <v>0</v>
      </c>
      <c r="K27" s="898">
        <f>-IF(K28*(K26+K29+K30+0.5*'3. E1 KUSTANNUKSET'!H93)&lt;0,0,K28*(K26+K29+K30+0.5*'3. E1 KUSTANNUKSET'!H93))</f>
        <v>0</v>
      </c>
      <c r="L27" s="269">
        <f>-IF(K$14&gt;0,K27/K$14*100,0)</f>
        <v>0</v>
      </c>
      <c r="M27" s="898">
        <f>-IF(M28*(M26+M29+M30+0.5*'3. E1 KUSTANNUKSET'!J93)&lt;0,0,M28*(M26+M29+M30+0.5*'3. E1 KUSTANNUKSET'!J93))</f>
        <v>0</v>
      </c>
      <c r="N27" s="269">
        <f>-IF(M$14&gt;0,M27/M$14*100,0)</f>
        <v>0</v>
      </c>
      <c r="O27" s="136"/>
      <c r="P27" s="332"/>
      <c r="Q27" s="262"/>
      <c r="R27" s="262"/>
      <c r="S27" s="262"/>
      <c r="T27" s="262"/>
      <c r="U27" s="262" t="s">
        <v>3</v>
      </c>
      <c r="V27" s="262"/>
      <c r="W27" s="262"/>
      <c r="X27" s="262"/>
      <c r="Y27" s="262"/>
      <c r="Z27" s="262"/>
      <c r="AA27" s="262"/>
      <c r="AB27" s="262"/>
      <c r="AC27" s="262"/>
      <c r="AD27" s="304"/>
    </row>
    <row r="28" spans="1:30" s="41" customFormat="1" ht="12.6" customHeight="1" x14ac:dyDescent="0.25">
      <c r="A28"/>
      <c r="B28" s="263"/>
      <c r="C28" s="678" t="s">
        <v>540</v>
      </c>
      <c r="D28" s="679"/>
      <c r="E28" s="1148"/>
      <c r="F28" s="1149"/>
      <c r="G28" s="899">
        <v>0.2</v>
      </c>
      <c r="H28" s="900"/>
      <c r="I28" s="899">
        <f>G28</f>
        <v>0.2</v>
      </c>
      <c r="J28" s="900"/>
      <c r="K28" s="899">
        <f>I28</f>
        <v>0.2</v>
      </c>
      <c r="L28" s="900"/>
      <c r="M28" s="899">
        <f>K28</f>
        <v>0.2</v>
      </c>
      <c r="N28" s="269"/>
      <c r="O28" s="136"/>
      <c r="P28" s="332"/>
      <c r="Q28" s="262" t="s">
        <v>3</v>
      </c>
      <c r="R28" s="262"/>
      <c r="S28" s="262"/>
      <c r="T28" s="262"/>
      <c r="U28" s="262"/>
      <c r="V28" s="262"/>
      <c r="W28" s="262"/>
      <c r="X28" s="262"/>
      <c r="Y28" s="262"/>
      <c r="Z28" s="262"/>
      <c r="AA28" s="262"/>
      <c r="AB28" s="262"/>
      <c r="AC28" s="262"/>
      <c r="AD28" s="304"/>
    </row>
    <row r="29" spans="1:30" s="41" customFormat="1" ht="12.6" customHeight="1" x14ac:dyDescent="0.25">
      <c r="B29" s="263" t="s">
        <v>74</v>
      </c>
      <c r="C29" s="264" t="s">
        <v>541</v>
      </c>
      <c r="D29" s="272" t="s">
        <v>489</v>
      </c>
      <c r="E29" s="1147"/>
      <c r="F29" s="1146"/>
      <c r="G29" s="901"/>
      <c r="H29" s="269"/>
      <c r="I29" s="901"/>
      <c r="J29" s="269"/>
      <c r="K29" s="901"/>
      <c r="L29" s="269"/>
      <c r="M29" s="901"/>
      <c r="N29" s="269"/>
      <c r="O29" s="136"/>
      <c r="P29" s="332"/>
      <c r="Q29" s="262"/>
      <c r="R29" s="262"/>
      <c r="S29" s="262"/>
      <c r="T29" s="262"/>
      <c r="U29" s="262"/>
      <c r="V29" s="262"/>
      <c r="W29" s="262"/>
      <c r="X29" s="262"/>
      <c r="Y29" s="262"/>
      <c r="Z29" s="262"/>
      <c r="AA29" s="262"/>
      <c r="AB29" s="262"/>
      <c r="AC29" s="262"/>
      <c r="AD29" s="304"/>
    </row>
    <row r="30" spans="1:30" s="41" customFormat="1" ht="12.6" customHeight="1" x14ac:dyDescent="0.25">
      <c r="A30"/>
      <c r="B30" s="263" t="s">
        <v>76</v>
      </c>
      <c r="C30" s="264" t="s">
        <v>542</v>
      </c>
      <c r="D30" s="272" t="s">
        <v>489</v>
      </c>
      <c r="E30" s="1147"/>
      <c r="F30" s="668"/>
      <c r="G30" s="901">
        <f>-('6. T3 TASE'!G64-'6. T3 TASE'!F64)</f>
        <v>0</v>
      </c>
      <c r="H30" s="269">
        <f>-IF(G$14&gt;0,G30/G$14*100,0)</f>
        <v>0</v>
      </c>
      <c r="I30" s="901">
        <f>-('6. T3 TASE'!H64-'6. T3 TASE'!G64)</f>
        <v>0</v>
      </c>
      <c r="J30" s="269">
        <f>-IF(I$14&gt;0,I30/I$14*100,0)</f>
        <v>0</v>
      </c>
      <c r="K30" s="901">
        <f>-('6. T3 TASE'!I64-'6. T3 TASE'!H64)</f>
        <v>0</v>
      </c>
      <c r="L30" s="269">
        <f>-IF(K$14&gt;0,K30/K$14*100,0)</f>
        <v>0</v>
      </c>
      <c r="M30" s="901">
        <f>-('6. T3 TASE'!J64-'6. T3 TASE'!I64)</f>
        <v>0</v>
      </c>
      <c r="N30" s="269">
        <f>-IF(M$14&gt;0,M30/M$14*100,0)</f>
        <v>0</v>
      </c>
      <c r="O30" s="136"/>
      <c r="P30" s="332"/>
      <c r="Q30" s="262"/>
      <c r="R30" s="262"/>
      <c r="S30" s="262"/>
      <c r="T30" s="262"/>
      <c r="U30" s="262"/>
      <c r="V30" s="262"/>
      <c r="W30" s="262"/>
      <c r="X30" s="262"/>
      <c r="Y30" s="262"/>
      <c r="Z30" s="262"/>
      <c r="AA30" s="262"/>
      <c r="AB30" s="262"/>
      <c r="AC30" s="262"/>
      <c r="AD30" s="304"/>
    </row>
    <row r="31" spans="1:30" s="41" customFormat="1" ht="12.6" customHeight="1" thickBot="1" x14ac:dyDescent="0.3">
      <c r="A31"/>
      <c r="B31" s="279" t="s">
        <v>78</v>
      </c>
      <c r="C31" s="280" t="s">
        <v>543</v>
      </c>
      <c r="D31" s="281"/>
      <c r="E31" s="672"/>
      <c r="F31" s="673"/>
      <c r="G31" s="902">
        <f>G26+G27+G29+G30</f>
        <v>0</v>
      </c>
      <c r="H31" s="282">
        <f>IF(G$14&gt;0,G31/G$14*100,0)</f>
        <v>0</v>
      </c>
      <c r="I31" s="902">
        <f>I26+I27+I29+I30</f>
        <v>0</v>
      </c>
      <c r="J31" s="282">
        <f>IF(I$14&gt;0,I31/I$14*100,0)</f>
        <v>0</v>
      </c>
      <c r="K31" s="902">
        <f>K26+K27+K29+K30</f>
        <v>0</v>
      </c>
      <c r="L31" s="282">
        <f>IF(K$14&gt;0,K31/K$14*100,0)</f>
        <v>0</v>
      </c>
      <c r="M31" s="902">
        <f>M26+M27+M29+M30</f>
        <v>0</v>
      </c>
      <c r="N31" s="282">
        <f>IF(M$14&gt;0,M31/M$14*100,0)</f>
        <v>0</v>
      </c>
      <c r="O31" s="136"/>
      <c r="P31" s="349"/>
      <c r="Q31" s="305"/>
      <c r="R31" s="305"/>
      <c r="S31" s="305"/>
      <c r="T31" s="305"/>
      <c r="U31" s="305"/>
      <c r="V31" s="305"/>
      <c r="W31" s="305"/>
      <c r="X31" s="305"/>
      <c r="Y31" s="305"/>
      <c r="Z31" s="305"/>
      <c r="AA31" s="305"/>
      <c r="AB31" s="305"/>
      <c r="AC31" s="305"/>
      <c r="AD31" s="306"/>
    </row>
    <row r="32" spans="1:30" ht="9" customHeight="1" thickBot="1" x14ac:dyDescent="0.3">
      <c r="B32" s="48"/>
      <c r="C32" s="136"/>
      <c r="D32" s="136"/>
      <c r="E32" s="136"/>
      <c r="F32" s="137"/>
      <c r="G32" s="137"/>
      <c r="H32" s="137"/>
      <c r="I32" s="137"/>
      <c r="J32" s="137"/>
      <c r="K32" s="137"/>
      <c r="L32" s="137"/>
      <c r="M32" s="137"/>
      <c r="N32" s="137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</row>
    <row r="33" spans="1:15" ht="15.75" customHeight="1" thickBot="1" x14ac:dyDescent="0.3">
      <c r="A33" s="41"/>
      <c r="B33" s="72"/>
      <c r="C33" s="178" t="s">
        <v>544</v>
      </c>
      <c r="D33" s="138"/>
      <c r="E33" s="2149">
        <v>0</v>
      </c>
      <c r="F33" s="2149"/>
      <c r="G33" s="2123">
        <v>1</v>
      </c>
      <c r="H33" s="2124"/>
      <c r="I33" s="2123">
        <f>G33</f>
        <v>1</v>
      </c>
      <c r="J33" s="2124"/>
      <c r="K33" s="2123">
        <f>I33</f>
        <v>1</v>
      </c>
      <c r="L33" s="2124"/>
      <c r="M33" s="2123">
        <f>K33</f>
        <v>1</v>
      </c>
      <c r="N33" s="2124"/>
    </row>
    <row r="34" spans="1:15" ht="12.75" customHeight="1" x14ac:dyDescent="0.25">
      <c r="B34" s="48"/>
      <c r="C34" s="535"/>
      <c r="D34" s="4"/>
      <c r="E34" s="1843"/>
      <c r="F34" s="1843"/>
      <c r="G34" s="283"/>
      <c r="H34" s="1843"/>
      <c r="I34" s="1843"/>
      <c r="J34" s="1843"/>
      <c r="K34" s="1843"/>
      <c r="L34" s="1843"/>
      <c r="M34" s="1843"/>
      <c r="N34" s="1843"/>
    </row>
    <row r="35" spans="1:15" ht="12.75" customHeight="1" x14ac:dyDescent="0.25">
      <c r="B35" s="1748"/>
      <c r="C35" s="535"/>
      <c r="D35" s="4"/>
      <c r="E35" s="1843"/>
      <c r="F35" s="1843"/>
      <c r="G35" s="283"/>
      <c r="H35" s="1843"/>
      <c r="I35" s="1843"/>
      <c r="J35" s="1843"/>
      <c r="N35" s="121" t="str">
        <f>OHJE!F6</f>
        <v>Palvelun tarjoavat</v>
      </c>
    </row>
    <row r="36" spans="1:15" ht="14.25" customHeight="1" x14ac:dyDescent="0.25">
      <c r="B36" s="2117" t="str">
        <f>OHJE!G33</f>
        <v>YT6 Aloittavan yrityksen tulossuunnitelma</v>
      </c>
      <c r="C36" s="2117"/>
      <c r="D36" s="2117"/>
      <c r="E36" s="4"/>
      <c r="F36" s="48"/>
      <c r="G36" s="2150" t="str">
        <f>'1. T1 INVESTOINTISUUN.'!I65</f>
        <v>Iisalmi, Lapinlahti, Sonkajärvi, Vieremä</v>
      </c>
      <c r="H36" s="2150"/>
      <c r="I36" s="2150"/>
      <c r="J36" s="2150"/>
      <c r="K36" s="2150"/>
      <c r="L36" s="2150"/>
      <c r="M36" s="2150"/>
      <c r="N36" s="2150"/>
    </row>
    <row r="37" spans="1:15" ht="12.75" customHeight="1" x14ac:dyDescent="0.25">
      <c r="B37" s="1902"/>
      <c r="C37" s="1902"/>
      <c r="D37" s="1801"/>
      <c r="E37" s="2134"/>
      <c r="F37" s="2134"/>
      <c r="G37" s="2134"/>
      <c r="H37" s="2134"/>
      <c r="I37" s="2134"/>
      <c r="J37" s="2134"/>
      <c r="K37" s="2134"/>
      <c r="L37" s="2134"/>
      <c r="M37" s="2134"/>
      <c r="N37" s="2134"/>
      <c r="O37" s="113"/>
    </row>
    <row r="38" spans="1:15" x14ac:dyDescent="0.25">
      <c r="B38" s="114"/>
      <c r="C38" s="115"/>
      <c r="D38" s="115"/>
      <c r="E38" s="2110"/>
      <c r="F38" s="2110"/>
      <c r="G38" s="2110"/>
      <c r="H38" s="2110"/>
      <c r="I38" s="2110"/>
      <c r="J38" s="2110"/>
      <c r="K38" s="2110"/>
      <c r="L38" s="2110"/>
      <c r="M38" s="2110"/>
      <c r="N38" s="2110"/>
      <c r="O38" s="113"/>
    </row>
    <row r="39" spans="1:15" x14ac:dyDescent="0.25">
      <c r="B39" s="114"/>
      <c r="C39" s="345" t="s">
        <v>87</v>
      </c>
      <c r="D39" s="115"/>
      <c r="E39" s="353"/>
      <c r="F39" s="353"/>
      <c r="G39" s="353"/>
      <c r="H39" s="353"/>
      <c r="I39" s="2110"/>
      <c r="J39" s="2110"/>
      <c r="K39" s="2110"/>
      <c r="L39" s="2110"/>
      <c r="M39" s="2110"/>
      <c r="N39" s="2110"/>
      <c r="O39" s="113"/>
    </row>
    <row r="40" spans="1:15" ht="14.25" customHeight="1" x14ac:dyDescent="0.25">
      <c r="B40" s="114"/>
      <c r="C40" s="40" t="s">
        <v>88</v>
      </c>
      <c r="D40" s="115"/>
      <c r="E40" s="113"/>
      <c r="F40" s="113"/>
      <c r="G40" s="353"/>
      <c r="H40" s="353"/>
      <c r="I40" s="2110"/>
      <c r="J40" s="2110"/>
      <c r="K40" s="2110"/>
      <c r="L40" s="2110"/>
      <c r="M40" s="2110"/>
      <c r="N40" s="2110"/>
      <c r="O40" s="113"/>
    </row>
    <row r="41" spans="1:15" x14ac:dyDescent="0.25">
      <c r="B41" s="114"/>
      <c r="C41" s="40" t="s">
        <v>89</v>
      </c>
      <c r="D41" s="115"/>
      <c r="E41" s="353"/>
      <c r="F41" s="353"/>
      <c r="G41" s="353"/>
      <c r="H41" s="353"/>
      <c r="I41" s="2110"/>
      <c r="J41" s="2110"/>
      <c r="K41" s="2110"/>
      <c r="L41" s="2110"/>
      <c r="M41" s="2110"/>
      <c r="N41" s="2110"/>
      <c r="O41" s="113"/>
    </row>
    <row r="42" spans="1:15" x14ac:dyDescent="0.25">
      <c r="B42" s="114"/>
      <c r="C42" s="115"/>
      <c r="D42" s="115"/>
      <c r="E42" s="2110"/>
      <c r="F42" s="2110"/>
      <c r="G42" s="2110"/>
      <c r="H42" s="2110"/>
      <c r="I42" s="2110"/>
      <c r="J42" s="2110"/>
      <c r="K42" s="2110"/>
      <c r="L42" s="2110"/>
      <c r="M42" s="2110"/>
      <c r="N42" s="2110"/>
      <c r="O42" s="113"/>
    </row>
    <row r="43" spans="1:15" x14ac:dyDescent="0.25">
      <c r="B43" s="114"/>
      <c r="C43" s="115"/>
      <c r="D43" s="115"/>
      <c r="E43" s="2110"/>
      <c r="F43" s="2110"/>
      <c r="G43" s="2110"/>
      <c r="H43" s="2110"/>
      <c r="I43" s="2110"/>
      <c r="J43" s="2110"/>
      <c r="K43" s="2110"/>
      <c r="L43" s="2110"/>
      <c r="M43" s="2110"/>
      <c r="N43" s="2110"/>
      <c r="O43" s="113"/>
    </row>
    <row r="44" spans="1:15" x14ac:dyDescent="0.25">
      <c r="B44" s="114"/>
      <c r="C44" s="115"/>
      <c r="D44" s="115"/>
      <c r="E44" s="2110"/>
      <c r="F44" s="2110"/>
      <c r="G44" s="2110"/>
      <c r="H44" s="2110"/>
      <c r="I44" s="2110"/>
      <c r="J44" s="2110"/>
      <c r="K44" s="2110"/>
      <c r="L44" s="2110"/>
      <c r="M44" s="2110"/>
      <c r="N44" s="2110"/>
      <c r="O44" s="113"/>
    </row>
    <row r="45" spans="1:15" x14ac:dyDescent="0.25">
      <c r="B45" s="114"/>
      <c r="C45" s="115"/>
      <c r="D45" s="115"/>
      <c r="E45" s="2110"/>
      <c r="F45" s="2110"/>
      <c r="G45" s="2110"/>
      <c r="H45" s="2110"/>
      <c r="I45" s="2110"/>
      <c r="J45" s="2110"/>
      <c r="K45" s="2110"/>
      <c r="L45" s="2110"/>
      <c r="M45" s="2110"/>
      <c r="N45" s="2110"/>
      <c r="O45" s="113"/>
    </row>
    <row r="46" spans="1:15" x14ac:dyDescent="0.25">
      <c r="B46" s="114"/>
      <c r="C46" s="115"/>
      <c r="D46" s="115"/>
      <c r="E46" s="2113"/>
      <c r="F46" s="2113"/>
      <c r="G46" s="2113"/>
      <c r="H46" s="2113"/>
      <c r="I46" s="2113"/>
      <c r="J46" s="2113"/>
      <c r="K46" s="2113"/>
      <c r="L46" s="2113"/>
      <c r="M46" s="2113"/>
      <c r="N46" s="2113"/>
      <c r="O46" s="113"/>
    </row>
    <row r="47" spans="1:15" x14ac:dyDescent="0.25">
      <c r="B47" s="2126"/>
      <c r="C47" s="2126"/>
      <c r="D47" s="2126"/>
      <c r="E47" s="2110"/>
      <c r="F47" s="2110"/>
      <c r="G47" s="2110"/>
      <c r="H47" s="2110"/>
      <c r="I47" s="2110"/>
      <c r="J47" s="2110"/>
      <c r="K47" s="2110"/>
      <c r="L47" s="2110"/>
      <c r="M47" s="2110"/>
      <c r="N47" s="2110"/>
      <c r="O47" s="113"/>
    </row>
    <row r="48" spans="1:15" x14ac:dyDescent="0.25">
      <c r="B48" s="114"/>
      <c r="C48" s="115"/>
      <c r="D48" s="115"/>
      <c r="E48" s="2110"/>
      <c r="F48" s="2110"/>
      <c r="G48" s="2110"/>
      <c r="H48" s="2110"/>
      <c r="I48" s="2110"/>
      <c r="J48" s="2110"/>
      <c r="K48" s="2110"/>
      <c r="L48" s="2110"/>
      <c r="M48" s="2110"/>
      <c r="N48" s="2110"/>
      <c r="O48" s="113"/>
    </row>
    <row r="49" spans="2:19" x14ac:dyDescent="0.25">
      <c r="B49" s="114"/>
      <c r="C49" s="115"/>
      <c r="D49" s="115"/>
      <c r="E49" s="2110"/>
      <c r="F49" s="2110"/>
      <c r="G49" s="2110"/>
      <c r="H49" s="2110"/>
      <c r="I49" s="2110"/>
      <c r="J49" s="2110"/>
      <c r="K49" s="2110"/>
      <c r="L49" s="2110"/>
      <c r="M49" s="2110"/>
      <c r="N49" s="2110"/>
      <c r="O49" s="113"/>
    </row>
    <row r="50" spans="2:19" x14ac:dyDescent="0.25">
      <c r="B50" s="114"/>
      <c r="C50" s="2116"/>
      <c r="D50" s="2116"/>
      <c r="E50" s="2110"/>
      <c r="F50" s="2110"/>
      <c r="G50" s="2110"/>
      <c r="H50" s="2110"/>
      <c r="I50" s="2110"/>
      <c r="J50" s="2110"/>
      <c r="K50" s="2110"/>
      <c r="L50" s="2110"/>
      <c r="M50" s="2110"/>
      <c r="N50" s="2110"/>
      <c r="O50" s="113"/>
      <c r="P50" s="535" t="s">
        <v>3</v>
      </c>
    </row>
    <row r="51" spans="2:19" x14ac:dyDescent="0.25">
      <c r="B51" s="114"/>
      <c r="C51" s="115"/>
      <c r="D51" s="115"/>
      <c r="E51" s="2110"/>
      <c r="F51" s="2110"/>
      <c r="G51" s="2110"/>
      <c r="H51" s="2110"/>
      <c r="I51" s="2110"/>
      <c r="J51" s="2110"/>
      <c r="K51" s="2110"/>
      <c r="L51" s="2110"/>
      <c r="M51" s="2110"/>
      <c r="N51" s="2110"/>
      <c r="O51" s="113"/>
      <c r="P51" s="535" t="s">
        <v>3</v>
      </c>
    </row>
    <row r="52" spans="2:19" x14ac:dyDescent="0.25">
      <c r="B52" s="114"/>
      <c r="C52" s="115"/>
      <c r="D52" s="115"/>
      <c r="E52" s="2110"/>
      <c r="F52" s="2110"/>
      <c r="G52" s="2110"/>
      <c r="H52" s="2110"/>
      <c r="I52" s="2110"/>
      <c r="J52" s="2110"/>
      <c r="K52" s="2110"/>
      <c r="L52" s="2110"/>
      <c r="M52" s="2110"/>
      <c r="N52" s="2110"/>
      <c r="O52" s="113"/>
    </row>
    <row r="53" spans="2:19" x14ac:dyDescent="0.25">
      <c r="B53" s="2145"/>
      <c r="C53" s="2145"/>
      <c r="D53" s="2145"/>
      <c r="E53" s="2110"/>
      <c r="F53" s="2110"/>
      <c r="G53" s="2110"/>
      <c r="H53" s="2110"/>
      <c r="I53" s="2110"/>
      <c r="J53" s="2110"/>
      <c r="K53" s="2110"/>
      <c r="L53" s="2110"/>
      <c r="M53" s="2110"/>
      <c r="N53" s="2110"/>
      <c r="O53" s="113"/>
    </row>
    <row r="54" spans="2:19" x14ac:dyDescent="0.25">
      <c r="B54" s="1789"/>
      <c r="C54" s="113"/>
      <c r="D54" s="113"/>
      <c r="E54" s="113"/>
      <c r="F54" s="1789"/>
      <c r="G54" s="115"/>
      <c r="H54" s="1789"/>
      <c r="I54" s="113"/>
      <c r="J54" s="1789"/>
      <c r="K54" s="113"/>
      <c r="L54" s="1789"/>
      <c r="M54" s="113"/>
      <c r="N54" s="1789"/>
      <c r="O54" s="113"/>
    </row>
    <row r="55" spans="2:19" x14ac:dyDescent="0.25">
      <c r="B55" s="2146"/>
      <c r="C55" s="2146"/>
      <c r="D55" s="2146"/>
      <c r="E55" s="2111"/>
      <c r="F55" s="2112"/>
      <c r="G55" s="2111"/>
      <c r="H55" s="2112"/>
      <c r="I55" s="2111"/>
      <c r="J55" s="2112"/>
      <c r="K55" s="2111"/>
      <c r="L55" s="2112"/>
      <c r="M55" s="2111"/>
      <c r="N55" s="2112"/>
      <c r="O55" s="113"/>
    </row>
    <row r="56" spans="2:19" x14ac:dyDescent="0.25">
      <c r="B56" s="2133"/>
      <c r="C56" s="2133"/>
      <c r="D56" s="2133"/>
      <c r="E56" s="2110"/>
      <c r="F56" s="2110"/>
      <c r="G56" s="2110"/>
      <c r="H56" s="2110"/>
      <c r="I56" s="2110"/>
      <c r="J56" s="2110"/>
      <c r="K56" s="2110"/>
      <c r="L56" s="2110"/>
      <c r="M56" s="2110"/>
      <c r="N56" s="2110"/>
      <c r="O56" s="113"/>
    </row>
    <row r="57" spans="2:19" x14ac:dyDescent="0.25">
      <c r="B57" s="2133"/>
      <c r="C57" s="2133"/>
      <c r="D57" s="2133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113"/>
    </row>
    <row r="58" spans="2:19" x14ac:dyDescent="0.25">
      <c r="B58" s="2133"/>
      <c r="C58" s="2133"/>
      <c r="D58" s="2133"/>
      <c r="E58" s="2110"/>
      <c r="F58" s="2110"/>
      <c r="G58" s="2110"/>
      <c r="H58" s="2110"/>
      <c r="I58" s="2110"/>
      <c r="J58" s="2110"/>
      <c r="K58" s="2110"/>
      <c r="L58" s="2110"/>
      <c r="M58" s="2110"/>
      <c r="N58" s="2110"/>
      <c r="O58" s="113"/>
    </row>
    <row r="59" spans="2:19" x14ac:dyDescent="0.25">
      <c r="B59" s="2133"/>
      <c r="C59" s="2133"/>
      <c r="D59" s="2133"/>
      <c r="E59" s="2110"/>
      <c r="F59" s="2110"/>
      <c r="G59" s="2110"/>
      <c r="H59" s="2110"/>
      <c r="I59" s="2110"/>
      <c r="J59" s="2110"/>
      <c r="K59" s="2110"/>
      <c r="L59" s="2110"/>
      <c r="M59" s="2110"/>
      <c r="N59" s="2110"/>
      <c r="O59" s="113"/>
    </row>
    <row r="60" spans="2:19" x14ac:dyDescent="0.25">
      <c r="B60" s="1859"/>
      <c r="C60" s="1859"/>
      <c r="D60" s="1859"/>
      <c r="E60" s="2110"/>
      <c r="F60" s="2110"/>
      <c r="G60" s="1799"/>
      <c r="H60" s="1788"/>
      <c r="I60" s="1788"/>
      <c r="J60" s="1788"/>
      <c r="K60" s="1788"/>
      <c r="L60" s="1788"/>
      <c r="M60" s="1788"/>
      <c r="N60" s="1788"/>
      <c r="O60" s="113"/>
    </row>
    <row r="61" spans="2:19" x14ac:dyDescent="0.25">
      <c r="B61" s="2133"/>
      <c r="C61" s="2133"/>
      <c r="D61" s="2133"/>
      <c r="E61" s="2110"/>
      <c r="F61" s="2110"/>
      <c r="G61" s="2110"/>
      <c r="H61" s="2110"/>
      <c r="I61" s="2110"/>
      <c r="J61" s="2110"/>
      <c r="K61" s="2110"/>
      <c r="L61" s="2110"/>
      <c r="M61" s="2110"/>
      <c r="N61" s="2110"/>
      <c r="O61" s="113"/>
      <c r="S61" s="535" t="s">
        <v>545</v>
      </c>
    </row>
    <row r="62" spans="2:19" x14ac:dyDescent="0.25">
      <c r="B62" s="2133"/>
      <c r="C62" s="2133"/>
      <c r="D62" s="2133"/>
      <c r="E62" s="2110"/>
      <c r="F62" s="2110"/>
      <c r="G62" s="2110"/>
      <c r="H62" s="2110"/>
      <c r="I62" s="2110"/>
      <c r="J62" s="2110"/>
      <c r="K62" s="2110"/>
      <c r="L62" s="2110"/>
      <c r="M62" s="2110"/>
      <c r="N62" s="2110"/>
      <c r="O62" s="113"/>
    </row>
    <row r="63" spans="2:19" x14ac:dyDescent="0.25">
      <c r="B63" s="2133"/>
      <c r="C63" s="2133"/>
      <c r="D63" s="2133"/>
      <c r="E63" s="2109"/>
      <c r="F63" s="2109"/>
      <c r="G63" s="2109"/>
      <c r="H63" s="2109"/>
      <c r="I63" s="2109"/>
      <c r="J63" s="2109"/>
      <c r="K63" s="2109"/>
      <c r="L63" s="2109"/>
      <c r="M63" s="2109"/>
      <c r="N63" s="2109"/>
      <c r="O63" s="113"/>
    </row>
    <row r="64" spans="2:19" x14ac:dyDescent="0.25">
      <c r="B64" s="1859"/>
      <c r="C64" s="1859"/>
      <c r="D64" s="1859"/>
      <c r="E64" s="1889"/>
      <c r="F64" s="1889"/>
      <c r="G64" s="284"/>
      <c r="H64" s="1889"/>
      <c r="I64" s="1889"/>
      <c r="J64" s="1889"/>
      <c r="K64" s="1889"/>
      <c r="L64" s="1889"/>
      <c r="M64" s="1889"/>
      <c r="N64" s="1889"/>
      <c r="O64" s="113"/>
    </row>
    <row r="65" spans="2:15" x14ac:dyDescent="0.25">
      <c r="B65" s="1859"/>
      <c r="C65" s="1859"/>
      <c r="D65" s="1859"/>
      <c r="E65" s="1889"/>
      <c r="F65" s="1889"/>
      <c r="G65" s="284"/>
      <c r="H65" s="1889"/>
      <c r="I65" s="1889"/>
      <c r="J65" s="1889"/>
      <c r="K65" s="1889"/>
      <c r="L65" s="1889"/>
      <c r="M65" s="1889"/>
      <c r="N65" s="1889"/>
      <c r="O65" s="113"/>
    </row>
    <row r="66" spans="2:15" x14ac:dyDescent="0.25">
      <c r="B66" s="1859"/>
      <c r="C66" s="1859"/>
      <c r="D66" s="1859"/>
      <c r="E66" s="1889"/>
      <c r="F66" s="1889"/>
      <c r="G66" s="284"/>
      <c r="H66" s="1889"/>
      <c r="I66" s="1889"/>
      <c r="J66" s="1889"/>
      <c r="K66" s="1889"/>
      <c r="L66" s="1889"/>
      <c r="M66" s="1889"/>
      <c r="N66" s="1889"/>
      <c r="O66" s="113"/>
    </row>
    <row r="67" spans="2:15" x14ac:dyDescent="0.25">
      <c r="B67" s="1859"/>
      <c r="C67" s="1859"/>
      <c r="D67" s="1859"/>
      <c r="E67" s="1889"/>
      <c r="F67" s="1889"/>
      <c r="G67" s="284"/>
      <c r="H67" s="1889"/>
      <c r="I67" s="1889"/>
      <c r="J67" s="1889"/>
      <c r="K67" s="1889"/>
      <c r="L67" s="1889"/>
      <c r="M67" s="1889"/>
      <c r="N67" s="1889"/>
      <c r="O67" s="113"/>
    </row>
    <row r="68" spans="2:15" x14ac:dyDescent="0.25">
      <c r="B68" s="1859"/>
      <c r="C68" s="1859"/>
      <c r="D68" s="1859"/>
      <c r="E68" s="1889"/>
      <c r="F68" s="1889"/>
      <c r="G68" s="284"/>
      <c r="H68" s="1889"/>
      <c r="I68" s="1889"/>
      <c r="J68" s="1889"/>
      <c r="K68" s="1889"/>
      <c r="L68" s="1889"/>
      <c r="M68" s="1889"/>
      <c r="N68" s="1889"/>
      <c r="O68" s="113"/>
    </row>
    <row r="69" spans="2:15" x14ac:dyDescent="0.25">
      <c r="B69" s="1859"/>
      <c r="C69" s="1859"/>
      <c r="D69" s="1859"/>
      <c r="E69" s="1889"/>
      <c r="F69" s="1889"/>
      <c r="G69" s="284"/>
      <c r="H69" s="1889"/>
      <c r="I69" s="1889"/>
      <c r="J69" s="1889"/>
      <c r="K69" s="1889"/>
      <c r="L69" s="1889"/>
      <c r="M69" s="1889"/>
      <c r="N69" s="1889"/>
      <c r="O69" s="113"/>
    </row>
    <row r="70" spans="2:15" x14ac:dyDescent="0.25">
      <c r="B70" s="1859"/>
      <c r="C70" s="1859"/>
      <c r="D70" s="1859"/>
      <c r="E70" s="1889"/>
      <c r="F70" s="1889"/>
      <c r="G70" s="284"/>
      <c r="H70" s="1889"/>
      <c r="I70" s="1889"/>
      <c r="J70" s="1889"/>
      <c r="K70" s="1889"/>
      <c r="L70" s="1889"/>
      <c r="M70" s="1889"/>
      <c r="N70" s="1889"/>
      <c r="O70" s="113"/>
    </row>
    <row r="71" spans="2:15" x14ac:dyDescent="0.25">
      <c r="B71" s="1859"/>
      <c r="C71" s="1859"/>
      <c r="D71" s="1859"/>
      <c r="E71" s="1889"/>
      <c r="F71" s="1889"/>
      <c r="G71" s="284"/>
      <c r="H71" s="1889"/>
      <c r="I71" s="1889"/>
      <c r="J71" s="1889"/>
      <c r="K71" s="1889"/>
      <c r="L71" s="1889"/>
      <c r="M71" s="1889"/>
      <c r="N71" s="1889"/>
      <c r="O71" s="113"/>
    </row>
    <row r="72" spans="2:15" x14ac:dyDescent="0.25">
      <c r="B72" s="1859"/>
      <c r="C72" s="1859"/>
      <c r="D72" s="1859"/>
      <c r="E72" s="1889"/>
      <c r="F72" s="1889"/>
      <c r="G72" s="284"/>
      <c r="H72" s="1889"/>
      <c r="I72" s="1889"/>
      <c r="J72" s="1889"/>
      <c r="K72" s="1889"/>
      <c r="L72" s="1889"/>
      <c r="M72" s="1889"/>
      <c r="N72" s="1889"/>
      <c r="O72" s="113"/>
    </row>
    <row r="73" spans="2:15" x14ac:dyDescent="0.25">
      <c r="B73" s="1859"/>
      <c r="C73" s="1859"/>
      <c r="D73" s="1859"/>
      <c r="E73" s="1889"/>
      <c r="F73" s="1889"/>
      <c r="G73" s="284"/>
      <c r="H73" s="1889"/>
      <c r="I73" s="1889"/>
      <c r="J73" s="1889"/>
      <c r="K73" s="1889"/>
      <c r="L73" s="1889"/>
      <c r="M73" s="1889"/>
      <c r="N73" s="1889"/>
      <c r="O73" s="113"/>
    </row>
    <row r="74" spans="2:15" x14ac:dyDescent="0.25">
      <c r="B74" s="1859"/>
      <c r="C74" s="1859"/>
      <c r="D74" s="1859"/>
      <c r="E74" s="1889"/>
      <c r="F74" s="1889"/>
      <c r="G74" s="284"/>
      <c r="H74" s="1889"/>
      <c r="I74" s="1889"/>
      <c r="J74" s="1889"/>
      <c r="K74" s="1889"/>
      <c r="L74" s="1889"/>
      <c r="M74" s="1889"/>
      <c r="N74" s="1889"/>
      <c r="O74" s="113"/>
    </row>
    <row r="75" spans="2:15" x14ac:dyDescent="0.25">
      <c r="B75" s="1859"/>
      <c r="C75" s="1859"/>
      <c r="D75" s="1859"/>
      <c r="E75" s="1889"/>
      <c r="F75" s="1889"/>
      <c r="G75" s="284"/>
      <c r="H75" s="1889"/>
      <c r="I75" s="1889"/>
      <c r="J75" s="1889"/>
      <c r="K75" s="1889"/>
      <c r="L75" s="1889"/>
      <c r="M75" s="1889"/>
      <c r="N75" s="1889"/>
      <c r="O75" s="113"/>
    </row>
    <row r="76" spans="2:15" x14ac:dyDescent="0.25">
      <c r="B76" s="1789"/>
      <c r="C76" s="116"/>
      <c r="D76" s="113"/>
      <c r="E76" s="1206"/>
      <c r="F76" s="1774"/>
      <c r="G76" s="115"/>
      <c r="H76" s="1774"/>
      <c r="I76" s="1206"/>
      <c r="J76" s="1774"/>
      <c r="K76" s="1206"/>
      <c r="L76" s="1774"/>
      <c r="M76" s="1206"/>
      <c r="N76" s="1774"/>
      <c r="O76" s="113"/>
    </row>
    <row r="77" spans="2:15" x14ac:dyDescent="0.25">
      <c r="B77" s="1789"/>
      <c r="C77" s="116"/>
      <c r="D77" s="113"/>
      <c r="E77" s="113"/>
      <c r="F77" s="1789"/>
      <c r="G77" s="115"/>
      <c r="H77" s="1789"/>
      <c r="I77" s="113"/>
      <c r="J77" s="1789"/>
      <c r="K77" s="113"/>
      <c r="L77" s="1789"/>
      <c r="M77" s="113"/>
      <c r="N77" s="1789"/>
      <c r="O77" s="113"/>
    </row>
    <row r="78" spans="2:15" x14ac:dyDescent="0.25">
      <c r="B78" s="1789"/>
      <c r="C78" s="116"/>
      <c r="D78" s="113"/>
      <c r="E78" s="113"/>
      <c r="F78" s="1789"/>
      <c r="G78" s="115"/>
      <c r="H78" s="1789"/>
      <c r="I78" s="113"/>
      <c r="J78" s="1789"/>
      <c r="K78" s="113"/>
      <c r="L78" s="1789"/>
      <c r="M78" s="113"/>
      <c r="N78" s="1789"/>
      <c r="O78" s="113"/>
    </row>
    <row r="79" spans="2:15" x14ac:dyDescent="0.25">
      <c r="B79" s="117"/>
      <c r="C79" s="116"/>
      <c r="D79" s="116"/>
      <c r="E79" s="116"/>
      <c r="F79" s="117"/>
      <c r="G79" s="285"/>
      <c r="H79" s="117"/>
      <c r="I79" s="116"/>
      <c r="J79" s="117"/>
      <c r="K79" s="116"/>
      <c r="L79" s="117"/>
      <c r="M79" s="116"/>
      <c r="N79" s="117"/>
      <c r="O79" s="113"/>
    </row>
    <row r="80" spans="2:15" x14ac:dyDescent="0.25">
      <c r="B80" s="2133"/>
      <c r="C80" s="2133"/>
      <c r="D80" s="2133"/>
      <c r="E80" s="2143"/>
      <c r="F80" s="2143"/>
      <c r="G80" s="2143"/>
      <c r="H80" s="2143"/>
      <c r="I80" s="2143"/>
      <c r="J80" s="2144"/>
      <c r="K80" s="2112"/>
      <c r="L80" s="2112"/>
      <c r="M80" s="1789"/>
      <c r="N80" s="1789"/>
      <c r="O80" s="113"/>
    </row>
    <row r="81" spans="2:15" x14ac:dyDescent="0.25">
      <c r="B81" s="1774"/>
      <c r="C81" s="1859"/>
      <c r="D81" s="1859"/>
      <c r="E81" s="1205"/>
      <c r="F81" s="1207"/>
      <c r="G81" s="1800"/>
      <c r="H81" s="1207"/>
      <c r="I81" s="1205"/>
      <c r="J81" s="1890"/>
      <c r="K81" s="1789"/>
      <c r="L81" s="1789"/>
      <c r="M81" s="1789"/>
      <c r="N81" s="1789"/>
      <c r="O81" s="113"/>
    </row>
    <row r="82" spans="2:15" x14ac:dyDescent="0.25">
      <c r="B82" s="1774"/>
      <c r="C82" s="1859"/>
      <c r="D82" s="1859"/>
      <c r="E82" s="1205"/>
      <c r="F82" s="1207"/>
      <c r="G82" s="1800"/>
      <c r="H82" s="1207"/>
      <c r="I82" s="1205"/>
      <c r="J82" s="1890"/>
      <c r="K82" s="1789"/>
      <c r="L82" s="1789"/>
      <c r="M82" s="1789"/>
      <c r="N82" s="1789"/>
      <c r="O82" s="113"/>
    </row>
    <row r="83" spans="2:15" x14ac:dyDescent="0.25">
      <c r="B83" s="1774"/>
      <c r="C83" s="1859"/>
      <c r="D83" s="1859"/>
      <c r="E83" s="1205"/>
      <c r="F83" s="1207"/>
      <c r="G83" s="1800"/>
      <c r="H83" s="1207"/>
      <c r="I83" s="1205"/>
      <c r="J83" s="1890"/>
      <c r="K83" s="1789"/>
      <c r="L83" s="1789"/>
      <c r="M83" s="1789"/>
      <c r="N83" s="1789"/>
      <c r="O83" s="113"/>
    </row>
    <row r="84" spans="2:15" ht="17.399999999999999" x14ac:dyDescent="0.25">
      <c r="B84" s="1774"/>
      <c r="C84" s="1859"/>
      <c r="D84" s="118"/>
      <c r="E84" s="113"/>
      <c r="F84" s="1207"/>
      <c r="G84" s="1800"/>
      <c r="H84" s="1207"/>
      <c r="I84" s="1205"/>
      <c r="J84" s="1890"/>
      <c r="K84" s="1789"/>
      <c r="L84" s="1789"/>
      <c r="M84" s="1789"/>
      <c r="N84" s="1789"/>
      <c r="O84" s="113"/>
    </row>
    <row r="85" spans="2:15" ht="17.399999999999999" x14ac:dyDescent="0.25">
      <c r="B85" s="1774"/>
      <c r="C85" s="1859"/>
      <c r="D85" s="118"/>
      <c r="E85" s="113"/>
      <c r="F85" s="1207"/>
      <c r="G85" s="1800"/>
      <c r="H85" s="1207"/>
      <c r="I85" s="1205"/>
      <c r="J85" s="1890"/>
      <c r="K85" s="1789"/>
      <c r="L85" s="1789"/>
      <c r="M85" s="1789"/>
      <c r="N85" s="1789"/>
      <c r="O85" s="113"/>
    </row>
    <row r="86" spans="2:15" x14ac:dyDescent="0.25">
      <c r="B86" s="1789"/>
      <c r="C86" s="113"/>
      <c r="D86" s="113"/>
      <c r="E86" s="113"/>
      <c r="F86" s="1789"/>
      <c r="G86" s="115"/>
      <c r="H86" s="1789"/>
      <c r="I86" s="113"/>
      <c r="J86" s="1789"/>
      <c r="K86" s="113"/>
      <c r="L86" s="1789"/>
      <c r="M86" s="113"/>
      <c r="N86" s="1789"/>
      <c r="O86" s="113"/>
    </row>
    <row r="87" spans="2:15" x14ac:dyDescent="0.25">
      <c r="B87" s="1789"/>
      <c r="C87" s="113"/>
      <c r="D87" s="113"/>
      <c r="E87" s="113"/>
      <c r="F87" s="1789"/>
      <c r="G87" s="115"/>
      <c r="H87" s="1789"/>
      <c r="I87" s="113"/>
      <c r="J87" s="1789"/>
      <c r="K87" s="113"/>
      <c r="L87" s="1789"/>
      <c r="M87" s="113"/>
      <c r="N87" s="1789"/>
      <c r="O87" s="113"/>
    </row>
    <row r="88" spans="2:15" x14ac:dyDescent="0.25">
      <c r="B88" s="1789"/>
      <c r="C88" s="113"/>
      <c r="D88" s="113"/>
      <c r="E88" s="113"/>
      <c r="F88" s="1789"/>
      <c r="G88" s="115"/>
      <c r="H88" s="1789"/>
      <c r="I88" s="113"/>
      <c r="J88" s="1789"/>
      <c r="K88" s="113"/>
      <c r="L88" s="1789"/>
      <c r="M88" s="113"/>
      <c r="N88" s="1789"/>
      <c r="O88" s="113"/>
    </row>
    <row r="89" spans="2:15" x14ac:dyDescent="0.25">
      <c r="B89" s="1789"/>
      <c r="C89" s="113"/>
      <c r="D89" s="113"/>
      <c r="E89" s="113"/>
      <c r="F89" s="1789"/>
      <c r="G89" s="115"/>
      <c r="H89" s="1789"/>
      <c r="I89" s="113"/>
      <c r="J89" s="1789"/>
      <c r="K89" s="113"/>
      <c r="L89" s="1789"/>
      <c r="M89" s="113"/>
      <c r="N89" s="1789"/>
      <c r="O89" s="113"/>
    </row>
    <row r="90" spans="2:15" x14ac:dyDescent="0.25">
      <c r="B90" s="1789"/>
      <c r="C90" s="113"/>
      <c r="D90" s="113"/>
      <c r="E90" s="113"/>
      <c r="F90" s="1789"/>
      <c r="G90" s="115"/>
      <c r="H90" s="1789"/>
      <c r="I90" s="113"/>
      <c r="J90" s="1789"/>
      <c r="K90" s="113"/>
      <c r="L90" s="1789"/>
      <c r="M90" s="113"/>
      <c r="N90" s="1789"/>
      <c r="O90" s="113"/>
    </row>
    <row r="91" spans="2:15" x14ac:dyDescent="0.25">
      <c r="B91" s="1789"/>
      <c r="C91" s="113"/>
      <c r="D91" s="113"/>
      <c r="E91" s="113"/>
      <c r="F91" s="1789"/>
      <c r="G91" s="115"/>
      <c r="H91" s="1789"/>
      <c r="I91" s="113"/>
      <c r="J91" s="1789"/>
      <c r="K91" s="113"/>
      <c r="L91" s="1789"/>
      <c r="M91" s="113"/>
      <c r="N91" s="1789"/>
      <c r="O91" s="113"/>
    </row>
    <row r="92" spans="2:15" x14ac:dyDescent="0.25">
      <c r="B92" s="1789"/>
      <c r="C92" s="113"/>
      <c r="D92" s="113"/>
      <c r="E92" s="113"/>
      <c r="F92" s="1789"/>
      <c r="G92" s="115"/>
      <c r="H92" s="1789"/>
      <c r="I92" s="113"/>
      <c r="J92" s="1789"/>
      <c r="K92" s="113"/>
      <c r="L92" s="1789"/>
      <c r="M92" s="113"/>
      <c r="N92" s="1789"/>
      <c r="O92" s="113"/>
    </row>
    <row r="93" spans="2:15" x14ac:dyDescent="0.25">
      <c r="B93" s="1789"/>
      <c r="C93" s="113"/>
      <c r="D93" s="113"/>
      <c r="E93" s="113"/>
      <c r="F93" s="1789"/>
      <c r="G93" s="115"/>
      <c r="H93" s="1789"/>
      <c r="I93" s="113"/>
      <c r="J93" s="1789"/>
      <c r="K93" s="113"/>
      <c r="L93" s="1789"/>
      <c r="M93" s="113"/>
      <c r="N93" s="1789"/>
      <c r="O93" s="113"/>
    </row>
    <row r="94" spans="2:15" x14ac:dyDescent="0.25">
      <c r="B94" s="1789"/>
      <c r="C94" s="113"/>
      <c r="D94" s="113"/>
      <c r="E94" s="113"/>
      <c r="F94" s="1789"/>
      <c r="G94" s="115"/>
      <c r="H94" s="1789"/>
      <c r="I94" s="113"/>
      <c r="J94" s="1789"/>
      <c r="K94" s="113"/>
      <c r="L94" s="1789"/>
      <c r="M94" s="113"/>
      <c r="N94" s="1789"/>
      <c r="O94" s="113"/>
    </row>
    <row r="95" spans="2:15" x14ac:dyDescent="0.25">
      <c r="B95" s="1789"/>
      <c r="C95" s="113"/>
      <c r="D95" s="113"/>
      <c r="E95" s="113"/>
      <c r="F95" s="1789"/>
      <c r="G95" s="115"/>
      <c r="H95" s="1789"/>
      <c r="I95" s="113"/>
      <c r="J95" s="1789"/>
      <c r="K95" s="113"/>
      <c r="L95" s="1789"/>
      <c r="M95" s="113"/>
      <c r="N95" s="1789"/>
      <c r="O95" s="113"/>
    </row>
    <row r="96" spans="2:15" x14ac:dyDescent="0.25">
      <c r="B96" s="1789"/>
      <c r="C96" s="113"/>
      <c r="D96" s="113"/>
      <c r="E96" s="113"/>
      <c r="F96" s="1789"/>
      <c r="G96" s="115"/>
      <c r="H96" s="1789"/>
      <c r="I96" s="113"/>
      <c r="J96" s="1789"/>
      <c r="K96" s="113"/>
      <c r="L96" s="1789"/>
      <c r="M96" s="113"/>
      <c r="N96" s="1789"/>
      <c r="O96" s="113"/>
    </row>
    <row r="97" spans="2:15" x14ac:dyDescent="0.25">
      <c r="B97" s="1789"/>
      <c r="C97" s="113"/>
      <c r="D97" s="113"/>
      <c r="E97" s="113"/>
      <c r="F97" s="1789"/>
      <c r="G97" s="115"/>
      <c r="H97" s="1789"/>
      <c r="I97" s="113"/>
      <c r="J97" s="1789"/>
      <c r="K97" s="113"/>
      <c r="L97" s="1789"/>
      <c r="M97" s="113"/>
      <c r="N97" s="1789"/>
      <c r="O97" s="113"/>
    </row>
    <row r="98" spans="2:15" x14ac:dyDescent="0.25">
      <c r="B98" s="1789"/>
      <c r="C98" s="113"/>
      <c r="D98" s="113"/>
      <c r="E98" s="113"/>
      <c r="F98" s="1789"/>
      <c r="G98" s="115"/>
      <c r="H98" s="1789"/>
      <c r="I98" s="113"/>
      <c r="J98" s="1789"/>
      <c r="K98" s="113"/>
      <c r="L98" s="1789"/>
      <c r="M98" s="113"/>
      <c r="N98" s="1789"/>
      <c r="O98" s="113"/>
    </row>
    <row r="99" spans="2:15" x14ac:dyDescent="0.25">
      <c r="B99" s="1789"/>
      <c r="C99" s="113"/>
      <c r="D99" s="113"/>
      <c r="E99" s="113"/>
      <c r="F99" s="1789"/>
      <c r="G99" s="115"/>
      <c r="H99" s="1789"/>
      <c r="I99" s="113"/>
      <c r="J99" s="1789"/>
      <c r="K99" s="113"/>
      <c r="L99" s="1789"/>
      <c r="M99" s="113"/>
      <c r="N99" s="1789"/>
      <c r="O99" s="113"/>
    </row>
    <row r="100" spans="2:15" x14ac:dyDescent="0.25">
      <c r="B100" s="1789"/>
      <c r="C100" s="113"/>
      <c r="D100" s="113"/>
      <c r="E100" s="113"/>
      <c r="F100" s="1789"/>
      <c r="G100" s="115"/>
      <c r="H100" s="1789"/>
      <c r="I100" s="113"/>
      <c r="J100" s="1789"/>
      <c r="K100" s="113"/>
      <c r="L100" s="1789"/>
      <c r="M100" s="113"/>
      <c r="N100" s="1789"/>
      <c r="O100" s="113"/>
    </row>
    <row r="101" spans="2:15" x14ac:dyDescent="0.25">
      <c r="B101" s="1789"/>
      <c r="C101" s="113"/>
      <c r="D101" s="113"/>
      <c r="E101" s="113"/>
      <c r="F101" s="1789"/>
      <c r="G101" s="115"/>
      <c r="H101" s="1789"/>
      <c r="I101" s="113"/>
      <c r="J101" s="1789"/>
      <c r="K101" s="113"/>
      <c r="L101" s="1789"/>
      <c r="M101" s="113"/>
      <c r="N101" s="1789"/>
      <c r="O101" s="113"/>
    </row>
    <row r="102" spans="2:15" x14ac:dyDescent="0.25">
      <c r="B102" s="1789"/>
      <c r="C102" s="113"/>
      <c r="D102" s="113"/>
      <c r="E102" s="113"/>
      <c r="F102" s="1789"/>
      <c r="G102" s="115"/>
      <c r="H102" s="1789"/>
      <c r="I102" s="113"/>
      <c r="J102" s="1789"/>
      <c r="K102" s="113"/>
      <c r="L102" s="1789"/>
      <c r="M102" s="113"/>
      <c r="N102" s="1789"/>
      <c r="O102" s="113"/>
    </row>
    <row r="103" spans="2:15" x14ac:dyDescent="0.25">
      <c r="B103" s="1789"/>
      <c r="C103" s="113"/>
      <c r="D103" s="113"/>
      <c r="E103" s="113"/>
      <c r="F103" s="1789"/>
      <c r="G103" s="115"/>
      <c r="H103" s="1789"/>
      <c r="I103" s="113"/>
      <c r="J103" s="1789"/>
      <c r="K103" s="113"/>
      <c r="L103" s="1789"/>
      <c r="M103" s="113"/>
      <c r="N103" s="1789"/>
      <c r="O103" s="113"/>
    </row>
    <row r="104" spans="2:15" x14ac:dyDescent="0.25">
      <c r="B104" s="1789"/>
      <c r="C104" s="113"/>
      <c r="D104" s="113"/>
      <c r="E104" s="113"/>
      <c r="F104" s="1789"/>
      <c r="G104" s="115"/>
      <c r="H104" s="1789"/>
      <c r="I104" s="113"/>
      <c r="J104" s="1789"/>
      <c r="K104" s="113"/>
      <c r="L104" s="1789"/>
      <c r="M104" s="113"/>
      <c r="N104" s="1789"/>
      <c r="O104" s="113"/>
    </row>
    <row r="105" spans="2:15" x14ac:dyDescent="0.25">
      <c r="B105" s="1789"/>
      <c r="C105" s="113"/>
      <c r="D105" s="113"/>
      <c r="E105" s="113"/>
      <c r="F105" s="1789"/>
      <c r="G105" s="115"/>
      <c r="H105" s="1789"/>
      <c r="I105" s="113"/>
      <c r="J105" s="1789"/>
      <c r="K105" s="113"/>
      <c r="L105" s="1789"/>
      <c r="M105" s="113"/>
      <c r="N105" s="1789"/>
      <c r="O105" s="113"/>
    </row>
    <row r="106" spans="2:15" x14ac:dyDescent="0.25">
      <c r="B106" s="1789"/>
      <c r="C106" s="113"/>
      <c r="D106" s="113"/>
      <c r="E106" s="113"/>
      <c r="F106" s="1789"/>
      <c r="G106" s="115"/>
      <c r="H106" s="1789"/>
      <c r="I106" s="113"/>
      <c r="J106" s="1789"/>
      <c r="K106" s="113"/>
      <c r="L106" s="1789"/>
      <c r="M106" s="113"/>
      <c r="N106" s="1789"/>
      <c r="O106" s="113"/>
    </row>
    <row r="107" spans="2:15" x14ac:dyDescent="0.25">
      <c r="B107" s="1789"/>
      <c r="C107" s="113"/>
      <c r="D107" s="113"/>
      <c r="E107" s="113"/>
      <c r="F107" s="1789"/>
      <c r="G107" s="115"/>
      <c r="H107" s="1789"/>
      <c r="I107" s="113"/>
      <c r="J107" s="1789"/>
      <c r="K107" s="113"/>
      <c r="L107" s="1789"/>
      <c r="M107" s="113"/>
      <c r="N107" s="1789"/>
      <c r="O107" s="113"/>
    </row>
    <row r="108" spans="2:15" x14ac:dyDescent="0.25">
      <c r="B108" s="1789"/>
      <c r="C108" s="113"/>
      <c r="D108" s="113"/>
      <c r="E108" s="113"/>
      <c r="F108" s="1789"/>
      <c r="G108" s="115"/>
      <c r="H108" s="1789"/>
      <c r="I108" s="113"/>
      <c r="J108" s="1789"/>
      <c r="K108" s="113"/>
      <c r="L108" s="1789"/>
      <c r="M108" s="113"/>
      <c r="N108" s="1789"/>
      <c r="O108" s="113"/>
    </row>
    <row r="109" spans="2:15" x14ac:dyDescent="0.25">
      <c r="B109" s="1789"/>
      <c r="C109" s="113"/>
      <c r="D109" s="113"/>
      <c r="E109" s="113"/>
      <c r="F109" s="1789"/>
      <c r="G109" s="115"/>
      <c r="H109" s="1789"/>
      <c r="I109" s="113"/>
      <c r="J109" s="1789"/>
      <c r="K109" s="113"/>
      <c r="L109" s="1789"/>
      <c r="M109" s="113"/>
      <c r="N109" s="1789"/>
      <c r="O109" s="113"/>
    </row>
    <row r="110" spans="2:15" x14ac:dyDescent="0.25">
      <c r="B110" s="1789"/>
      <c r="C110" s="113"/>
      <c r="D110" s="113"/>
      <c r="E110" s="113"/>
      <c r="F110" s="1789"/>
      <c r="G110" s="115"/>
      <c r="H110" s="1789"/>
      <c r="I110" s="113"/>
      <c r="J110" s="1789"/>
      <c r="K110" s="113"/>
      <c r="L110" s="1789"/>
      <c r="M110" s="113"/>
      <c r="N110" s="1789"/>
      <c r="O110" s="113"/>
    </row>
    <row r="111" spans="2:15" x14ac:dyDescent="0.25">
      <c r="B111" s="1789"/>
      <c r="C111" s="113"/>
      <c r="D111" s="113"/>
      <c r="E111" s="113"/>
      <c r="F111" s="1789"/>
      <c r="G111" s="115"/>
      <c r="H111" s="1789"/>
      <c r="I111" s="113"/>
      <c r="J111" s="1789"/>
      <c r="K111" s="113"/>
      <c r="L111" s="1789"/>
      <c r="M111" s="113"/>
      <c r="N111" s="1789"/>
      <c r="O111" s="113"/>
    </row>
    <row r="112" spans="2:15" x14ac:dyDescent="0.25">
      <c r="B112" s="1789"/>
      <c r="C112" s="113"/>
      <c r="D112" s="113"/>
      <c r="E112" s="113"/>
      <c r="F112" s="1789"/>
      <c r="G112" s="115"/>
      <c r="H112" s="1789"/>
      <c r="I112" s="113"/>
      <c r="J112" s="1789"/>
      <c r="K112" s="113"/>
      <c r="L112" s="1789"/>
      <c r="M112" s="113"/>
      <c r="N112" s="1789"/>
      <c r="O112" s="113"/>
    </row>
    <row r="113" spans="2:15" x14ac:dyDescent="0.25">
      <c r="B113" s="1789"/>
      <c r="C113" s="113"/>
      <c r="D113" s="113"/>
      <c r="E113" s="113"/>
      <c r="F113" s="1789"/>
      <c r="G113" s="115"/>
      <c r="H113" s="1789"/>
      <c r="I113" s="113"/>
      <c r="J113" s="1789"/>
      <c r="K113" s="113"/>
      <c r="L113" s="1789"/>
      <c r="M113" s="113"/>
      <c r="N113" s="1789"/>
      <c r="O113" s="113"/>
    </row>
    <row r="114" spans="2:15" x14ac:dyDescent="0.25">
      <c r="B114" s="1789"/>
      <c r="C114" s="2137"/>
      <c r="D114" s="2138"/>
      <c r="E114" s="2138"/>
      <c r="F114" s="2126"/>
      <c r="G114" s="2126"/>
      <c r="H114" s="2126"/>
      <c r="I114" s="2126"/>
      <c r="J114" s="2126"/>
      <c r="K114" s="2126"/>
      <c r="L114" s="1793"/>
      <c r="M114" s="1793"/>
      <c r="N114" s="1793"/>
      <c r="O114" s="1793"/>
    </row>
    <row r="115" spans="2:15" x14ac:dyDescent="0.25">
      <c r="B115" s="1789"/>
      <c r="C115" s="2138"/>
      <c r="D115" s="2138"/>
      <c r="E115" s="2138"/>
      <c r="F115" s="2120"/>
      <c r="G115" s="2120"/>
      <c r="H115" s="2120"/>
      <c r="I115" s="2120"/>
      <c r="J115" s="2120"/>
      <c r="K115" s="2120"/>
      <c r="L115" s="1791"/>
      <c r="M115" s="1791"/>
      <c r="N115" s="1791"/>
      <c r="O115" s="1791"/>
    </row>
    <row r="116" spans="2:15" x14ac:dyDescent="0.25">
      <c r="B116" s="1789"/>
      <c r="C116" s="119"/>
      <c r="D116" s="2116"/>
      <c r="E116" s="2116"/>
      <c r="F116" s="2125"/>
      <c r="G116" s="2125"/>
      <c r="H116" s="2125"/>
      <c r="I116" s="2125"/>
      <c r="J116" s="2125"/>
      <c r="K116" s="2125"/>
      <c r="L116" s="1792"/>
      <c r="M116" s="1792"/>
      <c r="N116" s="1792"/>
      <c r="O116" s="1792"/>
    </row>
    <row r="117" spans="2:15" x14ac:dyDescent="0.25">
      <c r="B117" s="1789"/>
      <c r="C117" s="119"/>
      <c r="D117" s="1790"/>
      <c r="E117" s="1817"/>
      <c r="F117" s="2125"/>
      <c r="G117" s="2125"/>
      <c r="H117" s="2125"/>
      <c r="I117" s="2136"/>
      <c r="J117" s="2125"/>
      <c r="K117" s="2136"/>
      <c r="L117" s="1792"/>
      <c r="M117" s="1792"/>
      <c r="N117" s="1792"/>
      <c r="O117" s="1798"/>
    </row>
    <row r="118" spans="2:15" x14ac:dyDescent="0.25">
      <c r="B118" s="1789"/>
      <c r="C118" s="119"/>
      <c r="D118" s="1790"/>
      <c r="E118" s="1817"/>
      <c r="F118" s="2125"/>
      <c r="G118" s="2125"/>
      <c r="H118" s="2125"/>
      <c r="I118" s="2136"/>
      <c r="J118" s="2125"/>
      <c r="K118" s="2136"/>
      <c r="L118" s="1792"/>
      <c r="M118" s="1792"/>
      <c r="N118" s="1792"/>
      <c r="O118" s="1798"/>
    </row>
    <row r="119" spans="2:15" x14ac:dyDescent="0.25">
      <c r="B119" s="1789"/>
      <c r="C119" s="119"/>
      <c r="D119" s="1790"/>
      <c r="E119" s="1817"/>
      <c r="F119" s="2125"/>
      <c r="G119" s="2125"/>
      <c r="H119" s="2125"/>
      <c r="I119" s="2136"/>
      <c r="J119" s="2125"/>
      <c r="K119" s="2136"/>
      <c r="L119" s="1792"/>
      <c r="M119" s="1792"/>
      <c r="N119" s="1792"/>
      <c r="O119" s="1798"/>
    </row>
    <row r="120" spans="2:15" x14ac:dyDescent="0.25">
      <c r="B120" s="1789"/>
      <c r="C120" s="119"/>
      <c r="D120" s="1790"/>
      <c r="E120" s="1817"/>
      <c r="F120" s="2125"/>
      <c r="G120" s="2125"/>
      <c r="H120" s="2135"/>
      <c r="I120" s="2135"/>
      <c r="J120" s="2135"/>
      <c r="K120" s="2135"/>
      <c r="L120" s="1797"/>
      <c r="M120" s="1797"/>
      <c r="N120" s="1797"/>
      <c r="O120" s="1797"/>
    </row>
    <row r="121" spans="2:15" x14ac:dyDescent="0.25">
      <c r="B121" s="1789"/>
      <c r="C121" s="119"/>
      <c r="D121" s="2116"/>
      <c r="E121" s="2116"/>
      <c r="F121" s="2125"/>
      <c r="G121" s="2125"/>
      <c r="H121" s="2139"/>
      <c r="I121" s="2139"/>
      <c r="J121" s="2139"/>
      <c r="K121" s="2139"/>
      <c r="L121" s="1799"/>
      <c r="M121" s="1799"/>
      <c r="N121" s="1799"/>
      <c r="O121" s="1799"/>
    </row>
    <row r="122" spans="2:15" x14ac:dyDescent="0.25">
      <c r="B122" s="1789"/>
      <c r="C122" s="119"/>
      <c r="D122" s="2140"/>
      <c r="E122" s="2140"/>
      <c r="F122" s="2125"/>
      <c r="G122" s="2136"/>
      <c r="H122" s="2125"/>
      <c r="I122" s="2136"/>
      <c r="J122" s="2125"/>
      <c r="K122" s="2136"/>
      <c r="L122" s="1792"/>
      <c r="M122" s="1792"/>
      <c r="N122" s="1792"/>
      <c r="O122" s="1798"/>
    </row>
    <row r="123" spans="2:15" x14ac:dyDescent="0.25">
      <c r="B123" s="1789"/>
      <c r="C123" s="2137"/>
      <c r="D123" s="2138"/>
      <c r="E123" s="2138"/>
      <c r="F123" s="2126"/>
      <c r="G123" s="2126"/>
      <c r="H123" s="2126"/>
      <c r="I123" s="2126"/>
      <c r="J123" s="2126"/>
      <c r="K123" s="2126"/>
      <c r="L123" s="1793"/>
      <c r="M123" s="1793"/>
      <c r="N123" s="1793"/>
      <c r="O123" s="1793"/>
    </row>
    <row r="124" spans="2:15" x14ac:dyDescent="0.25">
      <c r="B124" s="1789"/>
      <c r="C124" s="2138"/>
      <c r="D124" s="2138"/>
      <c r="E124" s="2138"/>
      <c r="F124" s="2120"/>
      <c r="G124" s="2120"/>
      <c r="H124" s="2120"/>
      <c r="I124" s="2120"/>
      <c r="J124" s="2120"/>
      <c r="K124" s="2120"/>
      <c r="L124" s="1791"/>
      <c r="M124" s="1791"/>
      <c r="N124" s="1791"/>
      <c r="O124" s="1791"/>
    </row>
    <row r="125" spans="2:15" x14ac:dyDescent="0.25">
      <c r="B125" s="1789"/>
      <c r="C125" s="119"/>
      <c r="D125" s="115"/>
      <c r="E125" s="120"/>
      <c r="F125" s="2125"/>
      <c r="G125" s="2136"/>
      <c r="H125" s="2125"/>
      <c r="I125" s="2136"/>
      <c r="J125" s="2125"/>
      <c r="K125" s="2136"/>
      <c r="L125" s="1792"/>
      <c r="M125" s="1792"/>
      <c r="N125" s="1792"/>
      <c r="O125" s="1798"/>
    </row>
    <row r="126" spans="2:15" x14ac:dyDescent="0.25">
      <c r="B126" s="1789"/>
      <c r="C126" s="119"/>
      <c r="D126" s="115"/>
      <c r="E126" s="120"/>
      <c r="F126" s="2125"/>
      <c r="G126" s="2136"/>
      <c r="H126" s="2125"/>
      <c r="I126" s="2136"/>
      <c r="J126" s="2125"/>
      <c r="K126" s="2136"/>
      <c r="L126" s="1792"/>
      <c r="M126" s="1792"/>
      <c r="N126" s="1792"/>
      <c r="O126" s="1798"/>
    </row>
    <row r="127" spans="2:15" x14ac:dyDescent="0.25">
      <c r="B127" s="1789"/>
      <c r="C127" s="119"/>
      <c r="D127" s="115"/>
      <c r="E127" s="120"/>
      <c r="F127" s="2139"/>
      <c r="G127" s="2139"/>
      <c r="H127" s="2125"/>
      <c r="I127" s="2136"/>
      <c r="J127" s="2125"/>
      <c r="K127" s="2136"/>
      <c r="L127" s="1792"/>
      <c r="M127" s="1792"/>
      <c r="N127" s="1792"/>
      <c r="O127" s="1798"/>
    </row>
    <row r="128" spans="2:15" x14ac:dyDescent="0.25">
      <c r="B128" s="1789"/>
      <c r="C128" s="119"/>
      <c r="D128" s="115"/>
      <c r="E128" s="120"/>
      <c r="F128" s="2125"/>
      <c r="G128" s="2136"/>
      <c r="H128" s="2125"/>
      <c r="I128" s="2136"/>
      <c r="J128" s="2125"/>
      <c r="K128" s="2136"/>
      <c r="L128" s="1792"/>
      <c r="M128" s="1792"/>
      <c r="N128" s="1792"/>
      <c r="O128" s="1798"/>
    </row>
    <row r="129" spans="2:15" x14ac:dyDescent="0.25">
      <c r="B129" s="1789"/>
      <c r="C129" s="119"/>
      <c r="D129" s="115"/>
      <c r="E129" s="120"/>
      <c r="F129" s="2125"/>
      <c r="G129" s="2136"/>
      <c r="H129" s="2125"/>
      <c r="I129" s="2136"/>
      <c r="J129" s="2125"/>
      <c r="K129" s="2136"/>
      <c r="L129" s="1792"/>
      <c r="M129" s="1792"/>
      <c r="N129" s="1792"/>
      <c r="O129" s="1798"/>
    </row>
  </sheetData>
  <sheetProtection algorithmName="SHA-512" hashValue="UvKgMSBWJae1v4Vf8btF04R2B34Rnw4DWuZLYJZ7tRm8WeDFCr/GJ4QpUNrhWUwSzgLvJWSwNqwWXiBFhwqVSQ==" saltValue="UU4Itnal3IrUg0qNr/t/tw==" spinCount="100000" sheet="1" objects="1" scenarios="1"/>
  <mergeCells count="212">
    <mergeCell ref="L5:N5"/>
    <mergeCell ref="I5:K5"/>
    <mergeCell ref="E60:F60"/>
    <mergeCell ref="E63:F63"/>
    <mergeCell ref="G63:H63"/>
    <mergeCell ref="I63:J63"/>
    <mergeCell ref="K63:L63"/>
    <mergeCell ref="K61:L61"/>
    <mergeCell ref="E62:F62"/>
    <mergeCell ref="G45:H45"/>
    <mergeCell ref="G44:H44"/>
    <mergeCell ref="I44:J44"/>
    <mergeCell ref="M7:N7"/>
    <mergeCell ref="M8:N8"/>
    <mergeCell ref="M33:N33"/>
    <mergeCell ref="M37:N37"/>
    <mergeCell ref="M38:N38"/>
    <mergeCell ref="M39:N39"/>
    <mergeCell ref="E8:F8"/>
    <mergeCell ref="E33:F33"/>
    <mergeCell ref="K43:L43"/>
    <mergeCell ref="K37:L37"/>
    <mergeCell ref="G36:N36"/>
    <mergeCell ref="I37:J37"/>
    <mergeCell ref="J120:K120"/>
    <mergeCell ref="D122:E122"/>
    <mergeCell ref="C123:E124"/>
    <mergeCell ref="F123:G123"/>
    <mergeCell ref="J123:K123"/>
    <mergeCell ref="C26:D26"/>
    <mergeCell ref="B80:D80"/>
    <mergeCell ref="E80:I80"/>
    <mergeCell ref="J80:L80"/>
    <mergeCell ref="B47:D47"/>
    <mergeCell ref="G61:H61"/>
    <mergeCell ref="B53:D53"/>
    <mergeCell ref="E37:F37"/>
    <mergeCell ref="E59:F59"/>
    <mergeCell ref="G59:H59"/>
    <mergeCell ref="I59:J59"/>
    <mergeCell ref="K59:L59"/>
    <mergeCell ref="B55:D55"/>
    <mergeCell ref="B56:D56"/>
    <mergeCell ref="B61:D61"/>
    <mergeCell ref="E55:F55"/>
    <mergeCell ref="G55:H55"/>
    <mergeCell ref="I55:J55"/>
    <mergeCell ref="J117:K117"/>
    <mergeCell ref="J129:K129"/>
    <mergeCell ref="J128:K128"/>
    <mergeCell ref="F127:G127"/>
    <mergeCell ref="H127:I127"/>
    <mergeCell ref="J127:K127"/>
    <mergeCell ref="H129:I129"/>
    <mergeCell ref="H128:I128"/>
    <mergeCell ref="F128:G128"/>
    <mergeCell ref="F129:G129"/>
    <mergeCell ref="F126:G126"/>
    <mergeCell ref="C114:E115"/>
    <mergeCell ref="H118:I118"/>
    <mergeCell ref="J118:K118"/>
    <mergeCell ref="J114:K114"/>
    <mergeCell ref="F125:G125"/>
    <mergeCell ref="H119:I119"/>
    <mergeCell ref="J119:K119"/>
    <mergeCell ref="F119:G119"/>
    <mergeCell ref="F122:G122"/>
    <mergeCell ref="J121:K121"/>
    <mergeCell ref="J125:K125"/>
    <mergeCell ref="H121:I121"/>
    <mergeCell ref="F121:G121"/>
    <mergeCell ref="H126:I126"/>
    <mergeCell ref="J126:K126"/>
    <mergeCell ref="H125:I125"/>
    <mergeCell ref="H122:I122"/>
    <mergeCell ref="F124:G124"/>
    <mergeCell ref="H124:I124"/>
    <mergeCell ref="H123:I123"/>
    <mergeCell ref="J124:K124"/>
    <mergeCell ref="J122:K122"/>
    <mergeCell ref="D121:E121"/>
    <mergeCell ref="B7:D8"/>
    <mergeCell ref="E7:F7"/>
    <mergeCell ref="F118:G118"/>
    <mergeCell ref="F120:G120"/>
    <mergeCell ref="B62:D62"/>
    <mergeCell ref="B58:D58"/>
    <mergeCell ref="B59:D59"/>
    <mergeCell ref="E38:F38"/>
    <mergeCell ref="B63:D63"/>
    <mergeCell ref="E56:F56"/>
    <mergeCell ref="G37:H37"/>
    <mergeCell ref="D116:E116"/>
    <mergeCell ref="H120:I120"/>
    <mergeCell ref="I58:J58"/>
    <mergeCell ref="E57:F57"/>
    <mergeCell ref="B57:D57"/>
    <mergeCell ref="E61:F61"/>
    <mergeCell ref="E58:F58"/>
    <mergeCell ref="G58:H58"/>
    <mergeCell ref="H117:I117"/>
    <mergeCell ref="J116:K116"/>
    <mergeCell ref="K57:L57"/>
    <mergeCell ref="G62:H62"/>
    <mergeCell ref="I62:J62"/>
    <mergeCell ref="I39:J39"/>
    <mergeCell ref="K39:L39"/>
    <mergeCell ref="G57:H57"/>
    <mergeCell ref="K62:L62"/>
    <mergeCell ref="K58:L58"/>
    <mergeCell ref="G56:H56"/>
    <mergeCell ref="K55:L55"/>
    <mergeCell ref="I61:J61"/>
    <mergeCell ref="I57:J57"/>
    <mergeCell ref="K46:L46"/>
    <mergeCell ref="H115:I115"/>
    <mergeCell ref="H116:I116"/>
    <mergeCell ref="F114:G114"/>
    <mergeCell ref="F115:G115"/>
    <mergeCell ref="F116:G116"/>
    <mergeCell ref="F117:G117"/>
    <mergeCell ref="E43:F43"/>
    <mergeCell ref="E45:F45"/>
    <mergeCell ref="E47:F47"/>
    <mergeCell ref="G47:H47"/>
    <mergeCell ref="I47:J47"/>
    <mergeCell ref="H114:I114"/>
    <mergeCell ref="E42:F42"/>
    <mergeCell ref="I45:J45"/>
    <mergeCell ref="K45:L45"/>
    <mergeCell ref="J115:K115"/>
    <mergeCell ref="G7:H7"/>
    <mergeCell ref="I7:J7"/>
    <mergeCell ref="K7:L7"/>
    <mergeCell ref="I40:J40"/>
    <mergeCell ref="K40:L40"/>
    <mergeCell ref="G33:H33"/>
    <mergeCell ref="I33:J33"/>
    <mergeCell ref="K33:L33"/>
    <mergeCell ref="I56:J56"/>
    <mergeCell ref="K56:L56"/>
    <mergeCell ref="G42:H42"/>
    <mergeCell ref="I42:J42"/>
    <mergeCell ref="K42:L42"/>
    <mergeCell ref="G38:H38"/>
    <mergeCell ref="I38:J38"/>
    <mergeCell ref="I41:J41"/>
    <mergeCell ref="G43:H43"/>
    <mergeCell ref="K38:L38"/>
    <mergeCell ref="K41:L41"/>
    <mergeCell ref="G8:H8"/>
    <mergeCell ref="B36:D36"/>
    <mergeCell ref="B37:C37"/>
    <mergeCell ref="I8:J8"/>
    <mergeCell ref="K8:L8"/>
    <mergeCell ref="I43:J43"/>
    <mergeCell ref="B5:D5"/>
    <mergeCell ref="E52:F52"/>
    <mergeCell ref="G52:H52"/>
    <mergeCell ref="I52:J52"/>
    <mergeCell ref="K52:L52"/>
    <mergeCell ref="E51:F51"/>
    <mergeCell ref="G51:H51"/>
    <mergeCell ref="I51:J51"/>
    <mergeCell ref="K51:L51"/>
    <mergeCell ref="G49:H49"/>
    <mergeCell ref="I49:J49"/>
    <mergeCell ref="K49:L49"/>
    <mergeCell ref="G50:H50"/>
    <mergeCell ref="I50:J50"/>
    <mergeCell ref="K50:L50"/>
    <mergeCell ref="G48:H48"/>
    <mergeCell ref="I48:J48"/>
    <mergeCell ref="K48:L48"/>
    <mergeCell ref="E46:F46"/>
    <mergeCell ref="C50:D50"/>
    <mergeCell ref="E50:F50"/>
    <mergeCell ref="K44:L44"/>
    <mergeCell ref="E49:F49"/>
    <mergeCell ref="E48:F48"/>
    <mergeCell ref="E53:F53"/>
    <mergeCell ref="G53:H53"/>
    <mergeCell ref="I53:J53"/>
    <mergeCell ref="K53:L53"/>
    <mergeCell ref="K47:L47"/>
    <mergeCell ref="E44:F44"/>
    <mergeCell ref="G46:H46"/>
    <mergeCell ref="I46:J46"/>
    <mergeCell ref="P3:Q3"/>
    <mergeCell ref="M63:N63"/>
    <mergeCell ref="M51:N51"/>
    <mergeCell ref="M52:N52"/>
    <mergeCell ref="M53:N53"/>
    <mergeCell ref="M55:N55"/>
    <mergeCell ref="M56:N56"/>
    <mergeCell ref="M49:N49"/>
    <mergeCell ref="M50:N50"/>
    <mergeCell ref="M58:N58"/>
    <mergeCell ref="M59:N59"/>
    <mergeCell ref="M61:N61"/>
    <mergeCell ref="M62:N62"/>
    <mergeCell ref="M40:N40"/>
    <mergeCell ref="M41:N41"/>
    <mergeCell ref="M42:N42"/>
    <mergeCell ref="M43:N43"/>
    <mergeCell ref="M44:N44"/>
    <mergeCell ref="M57:N57"/>
    <mergeCell ref="M45:N45"/>
    <mergeCell ref="M46:N46"/>
    <mergeCell ref="M47:N47"/>
    <mergeCell ref="M48:N48"/>
    <mergeCell ref="P10:S10"/>
  </mergeCells>
  <printOptions horizontalCentered="1" verticalCentered="1"/>
  <pageMargins left="0.25" right="0.25" top="0.75" bottom="0.75" header="0.3" footer="0.3"/>
  <pageSetup paperSize="9" orientation="landscape" verticalDpi="4" r:id="rId1"/>
  <colBreaks count="1" manualBreakCount="1">
    <brk id="14" max="32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152A1"/>
  </sheetPr>
  <dimension ref="A10:HI200"/>
  <sheetViews>
    <sheetView showGridLines="0" showZeros="0" defaultGridColor="0" colorId="55" zoomScaleNormal="100" workbookViewId="0">
      <selection activeCell="E19" sqref="E19"/>
    </sheetView>
  </sheetViews>
  <sheetFormatPr defaultRowHeight="13.2" x14ac:dyDescent="0.25"/>
  <cols>
    <col min="2" max="2" width="4.109375" customWidth="1"/>
    <col min="3" max="3" width="4.33203125" customWidth="1"/>
    <col min="4" max="4" width="28.33203125" customWidth="1"/>
    <col min="5" max="5" width="7.33203125" customWidth="1"/>
    <col min="6" max="6" width="5.33203125" style="32" customWidth="1"/>
    <col min="7" max="19" width="10" customWidth="1"/>
    <col min="20" max="20" width="9.33203125" customWidth="1"/>
    <col min="21" max="21" width="11.6640625" style="207" customWidth="1"/>
    <col min="22" max="22" width="6.5546875" style="207" customWidth="1"/>
    <col min="23" max="23" width="3.5546875" hidden="1" customWidth="1"/>
    <col min="24" max="24" width="8.88671875" hidden="1" customWidth="1"/>
    <col min="25" max="25" width="8.5546875" hidden="1" customWidth="1"/>
    <col min="26" max="26" width="7.6640625" hidden="1" customWidth="1"/>
    <col min="27" max="28" width="8.6640625" hidden="1" customWidth="1"/>
    <col min="29" max="29" width="6.6640625" hidden="1" customWidth="1"/>
    <col min="30" max="32" width="8.6640625" hidden="1" customWidth="1"/>
    <col min="33" max="49" width="8.88671875" hidden="1" customWidth="1"/>
    <col min="50" max="53" width="0" hidden="1" customWidth="1"/>
  </cols>
  <sheetData>
    <row r="10" spans="1:36" ht="18" customHeight="1" x14ac:dyDescent="0.25"/>
    <row r="11" spans="1:36" ht="56.25" customHeight="1" x14ac:dyDescent="0.25"/>
    <row r="12" spans="1:36" ht="15.75" customHeight="1" x14ac:dyDescent="0.35">
      <c r="B12" s="1807" t="s">
        <v>546</v>
      </c>
      <c r="C12" s="91"/>
      <c r="D12" s="92"/>
      <c r="E12" s="2170" t="s">
        <v>547</v>
      </c>
      <c r="F12" s="2170"/>
      <c r="G12" s="2170"/>
      <c r="H12" s="388">
        <v>1</v>
      </c>
      <c r="I12" s="335"/>
      <c r="J12" s="127"/>
      <c r="K12" s="127"/>
      <c r="L12" s="127"/>
      <c r="M12" s="127"/>
      <c r="O12" s="2154" t="s">
        <v>548</v>
      </c>
      <c r="P12" s="2154"/>
      <c r="Q12" s="2154"/>
      <c r="R12" s="91"/>
      <c r="S12" s="91"/>
    </row>
    <row r="13" spans="1:36" ht="10.5" customHeight="1" x14ac:dyDescent="0.35">
      <c r="B13" s="1782" t="s">
        <v>10</v>
      </c>
      <c r="C13" s="91"/>
      <c r="D13" s="92"/>
      <c r="E13" s="92"/>
      <c r="F13" s="112"/>
      <c r="G13" s="112"/>
      <c r="H13" s="126"/>
      <c r="I13" s="93"/>
      <c r="J13" s="93"/>
      <c r="K13" s="93"/>
      <c r="L13" s="93"/>
      <c r="M13" s="93"/>
      <c r="O13" s="128"/>
      <c r="P13" s="128"/>
      <c r="Q13" s="128"/>
      <c r="R13" s="91"/>
      <c r="S13" s="91"/>
      <c r="U13" s="207">
        <v>0</v>
      </c>
    </row>
    <row r="14" spans="1:36" ht="13.8" x14ac:dyDescent="0.25">
      <c r="B14" s="1783">
        <f>'7. T2 TULOSSUUN.'!B5</f>
        <v>0</v>
      </c>
      <c r="C14" s="130"/>
      <c r="D14" s="74"/>
      <c r="E14" s="74"/>
      <c r="G14" s="94"/>
      <c r="H14" s="94"/>
      <c r="I14" s="94"/>
      <c r="J14" s="94"/>
      <c r="K14" s="94"/>
      <c r="L14" s="94"/>
      <c r="M14" s="94"/>
      <c r="O14" s="2155" t="s">
        <v>549</v>
      </c>
      <c r="P14" s="2155"/>
      <c r="Q14" s="2155"/>
      <c r="R14" s="94"/>
      <c r="S14" s="1891"/>
      <c r="U14" s="1925"/>
      <c r="V14" s="1925"/>
      <c r="W14" s="1925"/>
      <c r="X14" s="1925"/>
    </row>
    <row r="15" spans="1:36" ht="10.35" customHeight="1" thickBot="1" x14ac:dyDescent="0.3">
      <c r="B15" s="94"/>
      <c r="C15" s="94"/>
      <c r="G15" s="94"/>
      <c r="H15" s="94"/>
      <c r="I15" s="94"/>
      <c r="J15" s="94"/>
      <c r="K15" s="94"/>
      <c r="L15" s="94"/>
      <c r="M15" s="94"/>
      <c r="N15" s="129"/>
      <c r="O15" s="129"/>
      <c r="P15" s="129"/>
      <c r="Q15" s="94"/>
      <c r="R15" s="94"/>
      <c r="S15" s="1891"/>
    </row>
    <row r="16" spans="1:36" ht="16.2" thickBot="1" x14ac:dyDescent="0.3">
      <c r="A16" s="41"/>
      <c r="B16" s="1381"/>
      <c r="C16" s="2159" t="s">
        <v>550</v>
      </c>
      <c r="D16" s="2159"/>
      <c r="E16" s="2160"/>
      <c r="F16" s="1382"/>
      <c r="G16" s="319">
        <v>45292</v>
      </c>
      <c r="H16" s="1379">
        <f>G16+31</f>
        <v>45323</v>
      </c>
      <c r="I16" s="1379">
        <f t="shared" ref="I16:R16" si="0">H16+31</f>
        <v>45354</v>
      </c>
      <c r="J16" s="1379">
        <f t="shared" si="0"/>
        <v>45385</v>
      </c>
      <c r="K16" s="1379">
        <f t="shared" si="0"/>
        <v>45416</v>
      </c>
      <c r="L16" s="1379">
        <f t="shared" si="0"/>
        <v>45447</v>
      </c>
      <c r="M16" s="1379">
        <f t="shared" si="0"/>
        <v>45478</v>
      </c>
      <c r="N16" s="1379">
        <f t="shared" si="0"/>
        <v>45509</v>
      </c>
      <c r="O16" s="1379">
        <f t="shared" si="0"/>
        <v>45540</v>
      </c>
      <c r="P16" s="1379">
        <f t="shared" si="0"/>
        <v>45571</v>
      </c>
      <c r="Q16" s="1379">
        <f t="shared" si="0"/>
        <v>45602</v>
      </c>
      <c r="R16" s="1379">
        <f t="shared" si="0"/>
        <v>45633</v>
      </c>
      <c r="S16" s="1380" t="s">
        <v>551</v>
      </c>
      <c r="X16" s="2192" t="s">
        <v>552</v>
      </c>
      <c r="Y16" s="2192"/>
      <c r="Z16" s="2192"/>
      <c r="AA16" s="1192"/>
      <c r="AB16" s="1192"/>
      <c r="AC16" s="1192"/>
      <c r="AD16" s="1192"/>
      <c r="AE16" s="1192"/>
      <c r="AF16" s="1192"/>
      <c r="AG16" s="1900" t="s">
        <v>3</v>
      </c>
      <c r="AH16" s="1900"/>
      <c r="AI16" s="1900"/>
      <c r="AJ16" s="1746"/>
    </row>
    <row r="17" spans="1:50" ht="12" customHeight="1" x14ac:dyDescent="0.25">
      <c r="B17" s="2197">
        <v>1</v>
      </c>
      <c r="C17" s="2189" t="s">
        <v>553</v>
      </c>
      <c r="D17" s="2190"/>
      <c r="E17" s="2190"/>
      <c r="F17" s="2191"/>
      <c r="G17" s="1660">
        <f>IF(H12=1, '1. T1 INVESTOINTISUUN.'!E46+'1. T1 INVESTOINTISUUN.'!E47+'1. T1 INVESTOINTISUUN.'!E49+'1. T1 INVESTOINTISUUN.'!E50,'6. T3 TASE'!H49)</f>
        <v>0</v>
      </c>
      <c r="H17" s="689">
        <f>G62</f>
        <v>0</v>
      </c>
      <c r="I17" s="689">
        <f t="shared" ref="I17:R17" si="1">H62</f>
        <v>0</v>
      </c>
      <c r="J17" s="689">
        <f t="shared" si="1"/>
        <v>0</v>
      </c>
      <c r="K17" s="689">
        <f t="shared" si="1"/>
        <v>0</v>
      </c>
      <c r="L17" s="689">
        <f t="shared" si="1"/>
        <v>0</v>
      </c>
      <c r="M17" s="689">
        <f t="shared" si="1"/>
        <v>0</v>
      </c>
      <c r="N17" s="689">
        <f t="shared" si="1"/>
        <v>0</v>
      </c>
      <c r="O17" s="689">
        <f t="shared" si="1"/>
        <v>0</v>
      </c>
      <c r="P17" s="689">
        <f t="shared" si="1"/>
        <v>0</v>
      </c>
      <c r="Q17" s="689">
        <f t="shared" si="1"/>
        <v>0</v>
      </c>
      <c r="R17" s="689">
        <f t="shared" si="1"/>
        <v>0</v>
      </c>
      <c r="S17" s="1168"/>
      <c r="X17" s="1192"/>
      <c r="Y17" s="1192"/>
      <c r="Z17" s="1192"/>
      <c r="AA17" s="1192"/>
      <c r="AB17" s="1192"/>
      <c r="AC17" s="1192"/>
      <c r="AD17" s="1192"/>
      <c r="AE17" s="1192"/>
      <c r="AF17" s="1192"/>
    </row>
    <row r="18" spans="1:50" ht="12" customHeight="1" x14ac:dyDescent="0.25">
      <c r="B18" s="2198"/>
      <c r="C18" s="1639" t="s">
        <v>554</v>
      </c>
      <c r="D18" s="1637"/>
      <c r="E18" s="1637"/>
      <c r="F18" s="1638"/>
      <c r="G18" s="680">
        <f>'AT Kassa'!C11</f>
        <v>0</v>
      </c>
      <c r="H18" s="680">
        <f>'AT Kassa'!D11</f>
        <v>0</v>
      </c>
      <c r="I18" s="680">
        <f>'AT Kassa'!E11</f>
        <v>0</v>
      </c>
      <c r="J18" s="680">
        <f>'AT Kassa'!F11</f>
        <v>0</v>
      </c>
      <c r="K18" s="680">
        <f>'AT Kassa'!G11</f>
        <v>0</v>
      </c>
      <c r="L18" s="680">
        <f>'AT Kassa'!H11</f>
        <v>0</v>
      </c>
      <c r="M18" s="690"/>
      <c r="N18" s="690"/>
      <c r="O18" s="690"/>
      <c r="P18" s="690"/>
      <c r="Q18" s="690"/>
      <c r="R18" s="690"/>
      <c r="S18" s="1169">
        <f>SUM(G18:R18)</f>
        <v>0</v>
      </c>
      <c r="U18" s="207">
        <v>0</v>
      </c>
      <c r="X18" s="1192"/>
      <c r="Y18" s="1192"/>
      <c r="Z18" s="1192"/>
      <c r="AA18" s="1192"/>
      <c r="AB18" s="1192"/>
      <c r="AC18" s="1192"/>
      <c r="AD18" s="1192"/>
      <c r="AE18" s="1192"/>
      <c r="AF18" s="1192"/>
    </row>
    <row r="19" spans="1:50" ht="12" customHeight="1" x14ac:dyDescent="0.25">
      <c r="A19" s="41"/>
      <c r="B19" s="1179">
        <v>2</v>
      </c>
      <c r="C19" s="2151" t="s">
        <v>555</v>
      </c>
      <c r="D19" s="2175"/>
      <c r="E19" s="552">
        <v>0.5</v>
      </c>
      <c r="F19" s="553">
        <v>24</v>
      </c>
      <c r="G19" s="681">
        <f t="shared" ref="G19:Q19" si="2">G20*$S19</f>
        <v>0</v>
      </c>
      <c r="H19" s="681">
        <f t="shared" si="2"/>
        <v>0</v>
      </c>
      <c r="I19" s="681">
        <f t="shared" si="2"/>
        <v>0</v>
      </c>
      <c r="J19" s="681">
        <f t="shared" si="2"/>
        <v>0</v>
      </c>
      <c r="K19" s="681">
        <f t="shared" si="2"/>
        <v>0</v>
      </c>
      <c r="L19" s="681">
        <f t="shared" si="2"/>
        <v>0</v>
      </c>
      <c r="M19" s="681">
        <f t="shared" si="2"/>
        <v>0</v>
      </c>
      <c r="N19" s="681">
        <f t="shared" si="2"/>
        <v>0</v>
      </c>
      <c r="O19" s="681">
        <f t="shared" si="2"/>
        <v>0</v>
      </c>
      <c r="P19" s="681">
        <f t="shared" si="2"/>
        <v>0</v>
      </c>
      <c r="Q19" s="681">
        <f t="shared" si="2"/>
        <v>0</v>
      </c>
      <c r="R19" s="681">
        <f>R20*$S19</f>
        <v>0</v>
      </c>
      <c r="S19" s="1170">
        <f>IF(H12=2,E19*('4. E2 LIIKEVAIHTO'!F64+'4. E2 LIIKEVAIHTO'!F67),E19*('4. E2 LIIKEVAIHTO'!E64+'4. E2 LIIKEVAIHTO'!E67))</f>
        <v>0</v>
      </c>
      <c r="X19" s="1192"/>
      <c r="Y19" s="1192"/>
      <c r="Z19" s="1192"/>
      <c r="AA19" s="1192"/>
      <c r="AB19" s="1192"/>
      <c r="AC19" s="1192"/>
      <c r="AD19" s="1192"/>
      <c r="AE19" s="1192"/>
      <c r="AF19" s="1192"/>
    </row>
    <row r="20" spans="1:50" ht="12" customHeight="1" x14ac:dyDescent="0.25">
      <c r="A20" s="2"/>
      <c r="B20" s="1180"/>
      <c r="C20" s="554"/>
      <c r="D20" s="2152" t="s">
        <v>556</v>
      </c>
      <c r="E20" s="2152"/>
      <c r="F20" s="2153"/>
      <c r="G20" s="682">
        <v>0.08</v>
      </c>
      <c r="H20" s="682">
        <v>0.08</v>
      </c>
      <c r="I20" s="682">
        <v>0.08</v>
      </c>
      <c r="J20" s="682">
        <v>0.09</v>
      </c>
      <c r="K20" s="682">
        <v>0.08</v>
      </c>
      <c r="L20" s="682">
        <v>0.09</v>
      </c>
      <c r="M20" s="682">
        <v>0.09</v>
      </c>
      <c r="N20" s="682">
        <v>0.09</v>
      </c>
      <c r="O20" s="682">
        <v>0.08</v>
      </c>
      <c r="P20" s="682">
        <v>0.08</v>
      </c>
      <c r="Q20" s="682">
        <v>0.08</v>
      </c>
      <c r="R20" s="682">
        <v>0.08</v>
      </c>
      <c r="S20" s="1171">
        <f>SUM(G20:R20)</f>
        <v>0.99999999999999978</v>
      </c>
      <c r="T20" s="181" t="str">
        <f>IF(E19=0," ",IF(S20=100%," ","VIRHE!"))</f>
        <v xml:space="preserve"> </v>
      </c>
      <c r="X20" s="1192"/>
      <c r="Y20" s="1192"/>
      <c r="Z20" s="1192"/>
      <c r="AA20" s="1192"/>
      <c r="AB20" s="1192"/>
      <c r="AC20" s="1192"/>
      <c r="AD20" s="1192"/>
      <c r="AE20" s="1192"/>
      <c r="AF20" s="1192"/>
    </row>
    <row r="21" spans="1:50" ht="12" customHeight="1" x14ac:dyDescent="0.25">
      <c r="A21" s="41"/>
      <c r="B21" s="1180">
        <v>3</v>
      </c>
      <c r="C21" s="2151" t="s">
        <v>557</v>
      </c>
      <c r="D21" s="2152"/>
      <c r="E21" s="2153"/>
      <c r="F21" s="555">
        <v>24</v>
      </c>
      <c r="G21" s="681">
        <f>G22*$S21</f>
        <v>0</v>
      </c>
      <c r="H21" s="681">
        <f>H22*$S21</f>
        <v>0</v>
      </c>
      <c r="I21" s="681">
        <f t="shared" ref="I21:R21" si="3">I22*$S21</f>
        <v>0</v>
      </c>
      <c r="J21" s="681">
        <f t="shared" si="3"/>
        <v>0</v>
      </c>
      <c r="K21" s="681">
        <f t="shared" si="3"/>
        <v>0</v>
      </c>
      <c r="L21" s="681">
        <f t="shared" si="3"/>
        <v>0</v>
      </c>
      <c r="M21" s="681">
        <f t="shared" si="3"/>
        <v>0</v>
      </c>
      <c r="N21" s="681">
        <f t="shared" si="3"/>
        <v>0</v>
      </c>
      <c r="O21" s="681">
        <f t="shared" si="3"/>
        <v>0</v>
      </c>
      <c r="P21" s="681">
        <f t="shared" si="3"/>
        <v>0</v>
      </c>
      <c r="Q21" s="681">
        <f t="shared" si="3"/>
        <v>0</v>
      </c>
      <c r="R21" s="681">
        <f t="shared" si="3"/>
        <v>0</v>
      </c>
      <c r="S21" s="1170">
        <f>IF(H12=2,('4. E2 LIIKEVAIHTO'!F64+'4. E2 LIIKEVAIHTO'!F67)-S19,'4. E2 LIIKEVAIHTO'!E64+'4. E2 LIIKEVAIHTO'!E67-S19)</f>
        <v>0</v>
      </c>
      <c r="U21" s="218"/>
      <c r="V21" s="218"/>
      <c r="X21" s="1192"/>
      <c r="Y21" s="1192"/>
      <c r="Z21" s="1192"/>
      <c r="AA21" s="1192"/>
      <c r="AB21" s="1192"/>
      <c r="AC21" s="1192"/>
      <c r="AD21" s="1192"/>
      <c r="AE21" s="1192"/>
      <c r="AF21" s="1192"/>
    </row>
    <row r="22" spans="1:50" ht="12" customHeight="1" x14ac:dyDescent="0.25">
      <c r="B22" s="1180"/>
      <c r="C22" s="554"/>
      <c r="D22" s="2152" t="s">
        <v>558</v>
      </c>
      <c r="E22" s="2152"/>
      <c r="F22" s="2153"/>
      <c r="G22" s="682">
        <v>0.08</v>
      </c>
      <c r="H22" s="682">
        <v>0.09</v>
      </c>
      <c r="I22" s="682">
        <v>0.08</v>
      </c>
      <c r="J22" s="682">
        <v>0.08</v>
      </c>
      <c r="K22" s="682">
        <v>0.08</v>
      </c>
      <c r="L22" s="682">
        <v>0.09</v>
      </c>
      <c r="M22" s="682">
        <v>0.09</v>
      </c>
      <c r="N22" s="682">
        <v>0.09</v>
      </c>
      <c r="O22" s="682">
        <v>0.08</v>
      </c>
      <c r="P22" s="682">
        <v>0.08</v>
      </c>
      <c r="Q22" s="682">
        <v>0.08</v>
      </c>
      <c r="R22" s="682">
        <v>0.08</v>
      </c>
      <c r="S22" s="1171">
        <f>SUM(G22:R22)</f>
        <v>0.99999999999999978</v>
      </c>
      <c r="T22" s="181" t="str">
        <f>IF(E19=100%," ",IF(S22=100%," ","VIRHE!"))</f>
        <v xml:space="preserve"> </v>
      </c>
      <c r="X22" s="1192"/>
      <c r="Y22" s="1192"/>
      <c r="Z22" s="1192"/>
      <c r="AA22" s="1192"/>
      <c r="AB22" s="1192"/>
      <c r="AC22" s="1192"/>
      <c r="AD22" s="1192"/>
      <c r="AE22" s="1192"/>
      <c r="AF22" s="1192"/>
    </row>
    <row r="23" spans="1:50" ht="12" customHeight="1" thickBot="1" x14ac:dyDescent="0.3">
      <c r="A23" s="41"/>
      <c r="B23" s="1180"/>
      <c r="C23" s="554"/>
      <c r="D23" s="1804" t="s">
        <v>559</v>
      </c>
      <c r="E23" s="556">
        <v>14</v>
      </c>
      <c r="F23" s="557" t="s">
        <v>560</v>
      </c>
      <c r="G23" s="681">
        <f>'AT Kassa'!C33</f>
        <v>0</v>
      </c>
      <c r="H23" s="681">
        <f>'AT Kassa'!D33</f>
        <v>0</v>
      </c>
      <c r="I23" s="681">
        <f>'AT Kassa'!E33</f>
        <v>0</v>
      </c>
      <c r="J23" s="681">
        <f>'AT Kassa'!F33</f>
        <v>0</v>
      </c>
      <c r="K23" s="681">
        <f>'AT Kassa'!G33</f>
        <v>0</v>
      </c>
      <c r="L23" s="681">
        <f>'AT Kassa'!H33</f>
        <v>0</v>
      </c>
      <c r="M23" s="681">
        <f>'AT Kassa'!I33</f>
        <v>0</v>
      </c>
      <c r="N23" s="681">
        <f>'AT Kassa'!J33</f>
        <v>0</v>
      </c>
      <c r="O23" s="681">
        <f>'AT Kassa'!K33</f>
        <v>0</v>
      </c>
      <c r="P23" s="681">
        <f>'AT Kassa'!L33</f>
        <v>0</v>
      </c>
      <c r="Q23" s="681">
        <f>'AT Kassa'!M33</f>
        <v>0</v>
      </c>
      <c r="R23" s="681">
        <f>'AT Kassa'!N33</f>
        <v>0</v>
      </c>
      <c r="S23" s="1170">
        <f>SUM(G23:R23)</f>
        <v>0</v>
      </c>
      <c r="X23" s="115"/>
      <c r="Y23" s="115"/>
      <c r="Z23" s="115"/>
      <c r="AA23" s="115"/>
      <c r="AB23" s="115"/>
      <c r="AC23" s="115"/>
      <c r="AD23" s="115"/>
      <c r="AE23" s="115"/>
      <c r="AF23" s="115"/>
      <c r="AG23" s="4"/>
      <c r="AH23" s="4"/>
      <c r="AI23" s="4"/>
      <c r="AJ23" s="4"/>
      <c r="AK23" s="4"/>
      <c r="AL23" s="4"/>
      <c r="AM23" s="4"/>
      <c r="AN23" s="4"/>
      <c r="AO23" s="4"/>
    </row>
    <row r="24" spans="1:50" ht="12" customHeight="1" x14ac:dyDescent="0.25">
      <c r="A24" s="41"/>
      <c r="B24" s="1180">
        <v>4</v>
      </c>
      <c r="C24" s="2167" t="s">
        <v>561</v>
      </c>
      <c r="D24" s="2168"/>
      <c r="E24" s="2169"/>
      <c r="F24" s="555">
        <v>24</v>
      </c>
      <c r="G24" s="683">
        <v>0</v>
      </c>
      <c r="H24" s="683">
        <v>0</v>
      </c>
      <c r="I24" s="683">
        <v>0</v>
      </c>
      <c r="J24" s="683">
        <v>0</v>
      </c>
      <c r="K24" s="683">
        <v>0</v>
      </c>
      <c r="L24" s="683">
        <v>0</v>
      </c>
      <c r="M24" s="683">
        <v>0</v>
      </c>
      <c r="N24" s="683">
        <v>0</v>
      </c>
      <c r="O24" s="683">
        <v>0</v>
      </c>
      <c r="P24" s="683">
        <v>0</v>
      </c>
      <c r="Q24" s="683">
        <v>0</v>
      </c>
      <c r="R24" s="683">
        <v>0</v>
      </c>
      <c r="S24" s="1170">
        <f>SUM(G24:R24)</f>
        <v>0</v>
      </c>
      <c r="U24" s="1393" t="s">
        <v>562</v>
      </c>
      <c r="V24" s="1749"/>
      <c r="W24">
        <v>0</v>
      </c>
      <c r="X24" s="115"/>
      <c r="Y24" s="115"/>
      <c r="Z24" s="115"/>
      <c r="AA24" s="115"/>
      <c r="AB24" s="115"/>
      <c r="AC24" s="115"/>
      <c r="AD24" s="115"/>
      <c r="AE24" s="115"/>
      <c r="AF24" s="115"/>
      <c r="AG24" s="4"/>
      <c r="AH24" s="4"/>
      <c r="AI24" s="4"/>
      <c r="AJ24" s="4"/>
      <c r="AK24" s="4"/>
      <c r="AL24" s="4"/>
      <c r="AM24" s="4"/>
      <c r="AN24" s="4"/>
      <c r="AO24" s="4"/>
    </row>
    <row r="25" spans="1:50" ht="12" customHeight="1" thickBot="1" x14ac:dyDescent="0.3">
      <c r="B25" s="1181">
        <v>5</v>
      </c>
      <c r="C25" s="2164" t="s">
        <v>563</v>
      </c>
      <c r="D25" s="2165"/>
      <c r="E25" s="2166"/>
      <c r="F25" s="558"/>
      <c r="G25" s="684">
        <f>IF($H12=1,'7. T2 TULOSSUUN.'!$G12/12+'3. E1 KUSTANNUKSET'!D30,'7. T2 TULOSSUUN.'!$I12/12+'6. T3 TASE'!H36+'3. E1 KUSTANNUKSET'!F30)</f>
        <v>0</v>
      </c>
      <c r="H25" s="684">
        <f>IF($H12=1,'7. T2 TULOSSUUN.'!$G12/12,'7. T2 TULOSSUUN.'!$I12/12)</f>
        <v>0</v>
      </c>
      <c r="I25" s="684">
        <f>IF($H12=1,'7. T2 TULOSSUUN.'!$G12/12,'7. T2 TULOSSUUN.'!$I12/12)</f>
        <v>0</v>
      </c>
      <c r="J25" s="684">
        <f>IF($H12=1,'7. T2 TULOSSUUN.'!$G12/12,'7. T2 TULOSSUUN.'!$I12/12)</f>
        <v>0</v>
      </c>
      <c r="K25" s="684">
        <f>IF($H12=1,'7. T2 TULOSSUUN.'!$G12/12,'7. T2 TULOSSUUN.'!$I12/12)</f>
        <v>0</v>
      </c>
      <c r="L25" s="684">
        <f>IF($H12=1,'7. T2 TULOSSUUN.'!$G12/12,'7. T2 TULOSSUUN.'!$I12/12)</f>
        <v>0</v>
      </c>
      <c r="M25" s="684">
        <f>IF($H12=1,'7. T2 TULOSSUUN.'!$G12/12+'1. T1 INVESTOINTISUUN.'!E59,'7. T2 TULOSSUUN.'!$I12/12+'1. T1 INVESTOINTISUUN.'!F59)</f>
        <v>0</v>
      </c>
      <c r="N25" s="684">
        <f>IF($H12=1,'7. T2 TULOSSUUN.'!$G12/12,'7. T2 TULOSSUUN.'!$I12/12)</f>
        <v>0</v>
      </c>
      <c r="O25" s="684">
        <f>IF($H12=1,'7. T2 TULOSSUUN.'!$G12/12,'7. T2 TULOSSUUN.'!$I12/12)</f>
        <v>0</v>
      </c>
      <c r="P25" s="684">
        <f>IF($H12=1,'7. T2 TULOSSUUN.'!$G12/12,'7. T2 TULOSSUUN.'!$I12/12)</f>
        <v>0</v>
      </c>
      <c r="Q25" s="684">
        <f>IF($H12=1,'7. T2 TULOSSUUN.'!$G12/12,'7. T2 TULOSSUUN.'!$I12/12)</f>
        <v>0</v>
      </c>
      <c r="R25" s="684">
        <f>IF($H12=1,'7. T2 TULOSSUUN.'!$G12/12,'7. T2 TULOSSUUN.'!$I12/12)</f>
        <v>0</v>
      </c>
      <c r="S25" s="1175">
        <f>SUM(G25:R25)</f>
        <v>0</v>
      </c>
      <c r="U25" s="1808" t="s">
        <v>564</v>
      </c>
      <c r="V25" s="1749"/>
      <c r="W25" s="41"/>
      <c r="X25" s="120"/>
      <c r="Y25" s="120"/>
      <c r="Z25" s="120"/>
      <c r="AA25" s="120"/>
      <c r="AB25" s="120"/>
      <c r="AC25" s="120"/>
      <c r="AD25" s="120"/>
      <c r="AE25" s="120"/>
      <c r="AF25" s="120"/>
      <c r="AG25" s="136"/>
      <c r="AH25" s="136"/>
      <c r="AI25" s="136"/>
      <c r="AJ25" s="136"/>
      <c r="AK25" s="136"/>
      <c r="AL25" s="136"/>
      <c r="AM25" s="136"/>
      <c r="AN25" s="136"/>
      <c r="AO25" s="136"/>
      <c r="AP25" s="41"/>
      <c r="AQ25" s="41"/>
    </row>
    <row r="26" spans="1:50" ht="12.75" customHeight="1" thickTop="1" thickBot="1" x14ac:dyDescent="0.3">
      <c r="A26" s="41"/>
      <c r="B26" s="798"/>
      <c r="C26" s="2156" t="s">
        <v>565</v>
      </c>
      <c r="D26" s="2157"/>
      <c r="E26" s="2158"/>
      <c r="F26" s="799"/>
      <c r="G26" s="800">
        <f>G19+G23+G25+G24</f>
        <v>0</v>
      </c>
      <c r="H26" s="800">
        <f t="shared" ref="H26:Q26" si="4">H19+H23+H25+H24</f>
        <v>0</v>
      </c>
      <c r="I26" s="800">
        <f t="shared" si="4"/>
        <v>0</v>
      </c>
      <c r="J26" s="800">
        <f t="shared" si="4"/>
        <v>0</v>
      </c>
      <c r="K26" s="800">
        <f t="shared" si="4"/>
        <v>0</v>
      </c>
      <c r="L26" s="800">
        <f>L19+L23+L25+L24</f>
        <v>0</v>
      </c>
      <c r="M26" s="800">
        <f>M19+M23+M25+M24</f>
        <v>0</v>
      </c>
      <c r="N26" s="800">
        <f>N19+N23+N25+N24</f>
        <v>0</v>
      </c>
      <c r="O26" s="800">
        <f t="shared" si="4"/>
        <v>0</v>
      </c>
      <c r="P26" s="800">
        <f>P19+P23+P25+P24</f>
        <v>0</v>
      </c>
      <c r="Q26" s="800">
        <f t="shared" si="4"/>
        <v>0</v>
      </c>
      <c r="R26" s="800">
        <f>R19+R23+R25+R24</f>
        <v>0</v>
      </c>
      <c r="S26" s="1189">
        <f>SUM(G26:R26)</f>
        <v>0</v>
      </c>
      <c r="U26" s="1808" t="s">
        <v>566</v>
      </c>
      <c r="V26" s="1749"/>
      <c r="W26" s="41"/>
      <c r="X26" s="2214" t="s">
        <v>567</v>
      </c>
      <c r="Y26" s="2214"/>
      <c r="Z26" s="2214"/>
      <c r="AA26" s="2214"/>
      <c r="AB26" s="2214"/>
      <c r="AC26" s="2214"/>
      <c r="AD26" s="2214"/>
      <c r="AE26" s="2214"/>
      <c r="AF26" s="2214"/>
      <c r="AG26" s="2214" t="s">
        <v>568</v>
      </c>
      <c r="AH26" s="2214"/>
      <c r="AI26" s="2214"/>
      <c r="AJ26" s="2214"/>
      <c r="AK26" s="2214"/>
      <c r="AL26" s="2214"/>
      <c r="AM26" s="2214"/>
      <c r="AN26" s="2214" t="s">
        <v>569</v>
      </c>
      <c r="AO26" s="2214"/>
      <c r="AP26" s="2214"/>
      <c r="AQ26" s="2214"/>
      <c r="AR26" s="2214"/>
      <c r="AS26" s="2214"/>
      <c r="AT26" s="2214"/>
      <c r="AU26" s="2208" t="s">
        <v>261</v>
      </c>
      <c r="AV26" s="2208"/>
      <c r="AW26" s="2208"/>
    </row>
    <row r="27" spans="1:50" ht="4.3499999999999996" customHeight="1" thickTop="1" thickBot="1" x14ac:dyDescent="0.3">
      <c r="B27" s="566"/>
      <c r="C27" s="1892"/>
      <c r="D27" s="1892"/>
      <c r="E27" s="1892"/>
      <c r="F27" s="567"/>
      <c r="G27" s="1893"/>
      <c r="H27" s="1893"/>
      <c r="I27" s="1893"/>
      <c r="J27" s="1893"/>
      <c r="K27" s="1893"/>
      <c r="L27" s="1893"/>
      <c r="M27" s="1893"/>
      <c r="N27" s="1893"/>
      <c r="O27" s="1893"/>
      <c r="P27" s="1893"/>
      <c r="Q27" s="1893"/>
      <c r="R27" s="1893"/>
      <c r="S27" s="1883" t="s">
        <v>3</v>
      </c>
      <c r="U27" s="1386"/>
      <c r="V27" s="1749"/>
      <c r="W27" s="41"/>
      <c r="X27" s="568"/>
      <c r="Y27" s="568"/>
      <c r="Z27" s="568"/>
      <c r="AA27" s="568"/>
      <c r="AB27" s="568"/>
      <c r="AC27" s="568"/>
      <c r="AD27" s="1237"/>
      <c r="AE27" s="1237"/>
      <c r="AF27" s="1237"/>
      <c r="AG27" s="568"/>
      <c r="AH27" s="568"/>
      <c r="AI27" s="568"/>
      <c r="AJ27" s="568"/>
      <c r="AK27" s="1237"/>
      <c r="AL27" s="1237"/>
      <c r="AM27" s="1237"/>
      <c r="AN27" s="568"/>
      <c r="AO27" s="568"/>
      <c r="AP27" s="568"/>
      <c r="AQ27" s="568"/>
      <c r="AR27" s="1237"/>
      <c r="AS27" s="1237"/>
      <c r="AT27" s="1237"/>
    </row>
    <row r="28" spans="1:50" ht="12.75" customHeight="1" thickBot="1" x14ac:dyDescent="0.3">
      <c r="A28" s="41"/>
      <c r="B28" s="1381"/>
      <c r="C28" s="2159" t="s">
        <v>570</v>
      </c>
      <c r="D28" s="2159"/>
      <c r="E28" s="2160"/>
      <c r="F28" s="1383" t="s">
        <v>571</v>
      </c>
      <c r="G28" s="1384">
        <f>G16</f>
        <v>45292</v>
      </c>
      <c r="H28" s="1384">
        <f t="shared" ref="H28:S28" si="5">+H16</f>
        <v>45323</v>
      </c>
      <c r="I28" s="1384">
        <f t="shared" si="5"/>
        <v>45354</v>
      </c>
      <c r="J28" s="1384">
        <f t="shared" si="5"/>
        <v>45385</v>
      </c>
      <c r="K28" s="1384">
        <f t="shared" si="5"/>
        <v>45416</v>
      </c>
      <c r="L28" s="1384">
        <f t="shared" si="5"/>
        <v>45447</v>
      </c>
      <c r="M28" s="1384">
        <f t="shared" si="5"/>
        <v>45478</v>
      </c>
      <c r="N28" s="1384">
        <f t="shared" si="5"/>
        <v>45509</v>
      </c>
      <c r="O28" s="1384">
        <f t="shared" si="5"/>
        <v>45540</v>
      </c>
      <c r="P28" s="1384">
        <f t="shared" si="5"/>
        <v>45571</v>
      </c>
      <c r="Q28" s="1384">
        <f t="shared" si="5"/>
        <v>45602</v>
      </c>
      <c r="R28" s="1384">
        <f t="shared" si="5"/>
        <v>45633</v>
      </c>
      <c r="S28" s="1385" t="str">
        <f t="shared" si="5"/>
        <v>YHT</v>
      </c>
      <c r="T28" s="1795" t="s">
        <v>572</v>
      </c>
      <c r="U28" s="1809" t="s">
        <v>573</v>
      </c>
      <c r="V28" s="1749"/>
      <c r="W28" s="41"/>
      <c r="X28" s="1238"/>
      <c r="Y28" s="1259"/>
      <c r="Z28" s="1257" t="s">
        <v>574</v>
      </c>
      <c r="AA28" s="1239" t="s">
        <v>575</v>
      </c>
      <c r="AB28" s="1239" t="s">
        <v>576</v>
      </c>
      <c r="AC28" s="2212" t="s">
        <v>577</v>
      </c>
      <c r="AD28" s="1240" t="s">
        <v>578</v>
      </c>
      <c r="AE28" s="1240" t="s">
        <v>579</v>
      </c>
      <c r="AF28" s="1241" t="s">
        <v>580</v>
      </c>
      <c r="AG28" s="1257" t="s">
        <v>574</v>
      </c>
      <c r="AH28" s="1239" t="s">
        <v>575</v>
      </c>
      <c r="AI28" s="1239" t="s">
        <v>576</v>
      </c>
      <c r="AJ28" s="2212" t="s">
        <v>577</v>
      </c>
      <c r="AK28" s="1240" t="s">
        <v>578</v>
      </c>
      <c r="AL28" s="1240" t="s">
        <v>579</v>
      </c>
      <c r="AM28" s="1241" t="s">
        <v>580</v>
      </c>
      <c r="AN28" s="1254" t="s">
        <v>574</v>
      </c>
      <c r="AO28" s="1239" t="s">
        <v>575</v>
      </c>
      <c r="AP28" s="1239" t="s">
        <v>576</v>
      </c>
      <c r="AQ28" s="2212" t="s">
        <v>577</v>
      </c>
      <c r="AR28" s="1240" t="s">
        <v>578</v>
      </c>
      <c r="AS28" s="1240" t="s">
        <v>579</v>
      </c>
      <c r="AT28" s="501" t="s">
        <v>580</v>
      </c>
      <c r="AU28" s="1252" t="s">
        <v>578</v>
      </c>
      <c r="AV28" s="1240" t="s">
        <v>579</v>
      </c>
      <c r="AW28" s="1241" t="s">
        <v>580</v>
      </c>
    </row>
    <row r="29" spans="1:50" ht="12" customHeight="1" x14ac:dyDescent="0.25">
      <c r="A29" s="41"/>
      <c r="B29" s="1182">
        <v>6</v>
      </c>
      <c r="C29" s="2161" t="s">
        <v>581</v>
      </c>
      <c r="D29" s="2162"/>
      <c r="E29" s="2163"/>
      <c r="F29" s="559">
        <v>24</v>
      </c>
      <c r="G29" s="680">
        <f>IF(($S19+$S21)*$U29=0,0,(G19+G21)/($S19+$S21)*'8. T5 KASSABUDJETTI'!$U29)</f>
        <v>0</v>
      </c>
      <c r="H29" s="680">
        <f>IF(($S19+$S21)*$U29=0,0,(H19+H21)/($S19+$S21)*'8. T5 KASSABUDJETTI'!$U29)</f>
        <v>0</v>
      </c>
      <c r="I29" s="680">
        <f>IF(($S19+$S21)*$U29=0,0,(I19+I21)/($S19+$S21)*'8. T5 KASSABUDJETTI'!$U29)</f>
        <v>0</v>
      </c>
      <c r="J29" s="680">
        <f>IF(($S19+$S21)*$U29=0,0,(J19+J21)/($S19+$S21)*'8. T5 KASSABUDJETTI'!$U29)</f>
        <v>0</v>
      </c>
      <c r="K29" s="680">
        <f>IF(($S19+$S21)*$U29=0,0,(K19+K21)/($S19+$S21)*'8. T5 KASSABUDJETTI'!$U29)</f>
        <v>0</v>
      </c>
      <c r="L29" s="680">
        <f>IF(($S19+$S21)*$U29=0,0,(L19+L21)/($S19+$S21)*'8. T5 KASSABUDJETTI'!$U29)</f>
        <v>0</v>
      </c>
      <c r="M29" s="680">
        <f>IF(($S19+$S21)*$U29=0,0,(M19+M21)/($S19+$S21)*'8. T5 KASSABUDJETTI'!$U29)</f>
        <v>0</v>
      </c>
      <c r="N29" s="680">
        <f>IF(($S19+$S21)*$U29=0,0,(N19+N21)/($S19+$S21)*'8. T5 KASSABUDJETTI'!$U29)</f>
        <v>0</v>
      </c>
      <c r="O29" s="680">
        <f>IF(($S19+$S21)*$U29=0,0,(O19+O21)/($S19+$S21)*'8. T5 KASSABUDJETTI'!$U29)</f>
        <v>0</v>
      </c>
      <c r="P29" s="680">
        <f>IF(($S19+$S21)*$U29=0,0,(P19+P21)/($S19+$S21)*'8. T5 KASSABUDJETTI'!$U29)</f>
        <v>0</v>
      </c>
      <c r="Q29" s="680">
        <f>IF(($S19+$S21)*$U29=0,0,(Q19+Q21)/($S19+$S21)*'8. T5 KASSABUDJETTI'!$U29)</f>
        <v>0</v>
      </c>
      <c r="R29" s="680">
        <f>IF(($S19+$S21)*$U29=0,0,(R19+R21)/($S19+$S21)*'8. T5 KASSABUDJETTI'!$U29)</f>
        <v>0</v>
      </c>
      <c r="S29" s="1168">
        <f>SUM(G29:R29)</f>
        <v>0</v>
      </c>
      <c r="T29" s="1193">
        <f>U29-S29</f>
        <v>0</v>
      </c>
      <c r="U29" s="1163">
        <f>-IF(H$12=1,'7. T2 TULOSSUUN.'!G15+'7. T2 TULOSSUUN.'!G15*'8. T5 KASSABUDJETTI'!F29/100,'7. T2 TULOSSUUN.'!I15+'7. T2 TULOSSUUN.'!I15*'8. T5 KASSABUDJETTI'!F29/100)</f>
        <v>0</v>
      </c>
      <c r="V29" s="1102"/>
      <c r="W29" s="41"/>
      <c r="X29" s="1242"/>
      <c r="Y29" s="1260"/>
      <c r="Z29" s="1258" t="s">
        <v>582</v>
      </c>
      <c r="AA29" s="1243" t="s">
        <v>583</v>
      </c>
      <c r="AB29" s="1243" t="s">
        <v>584</v>
      </c>
      <c r="AC29" s="2213"/>
      <c r="AD29" s="1244" t="s">
        <v>585</v>
      </c>
      <c r="AE29" s="1244" t="s">
        <v>586</v>
      </c>
      <c r="AF29" s="1245" t="s">
        <v>582</v>
      </c>
      <c r="AG29" s="1258" t="s">
        <v>582</v>
      </c>
      <c r="AH29" s="1243" t="s">
        <v>583</v>
      </c>
      <c r="AI29" s="1243" t="s">
        <v>584</v>
      </c>
      <c r="AJ29" s="2213"/>
      <c r="AK29" s="1244" t="s">
        <v>585</v>
      </c>
      <c r="AL29" s="1244" t="s">
        <v>586</v>
      </c>
      <c r="AM29" s="1245" t="s">
        <v>582</v>
      </c>
      <c r="AN29" s="1255" t="s">
        <v>582</v>
      </c>
      <c r="AO29" s="1243" t="s">
        <v>583</v>
      </c>
      <c r="AP29" s="1243" t="s">
        <v>584</v>
      </c>
      <c r="AQ29" s="2213"/>
      <c r="AR29" s="1244" t="s">
        <v>585</v>
      </c>
      <c r="AS29" s="1244" t="s">
        <v>586</v>
      </c>
      <c r="AT29" s="502" t="s">
        <v>582</v>
      </c>
      <c r="AU29" s="1253" t="s">
        <v>585</v>
      </c>
      <c r="AV29" s="1244" t="s">
        <v>586</v>
      </c>
      <c r="AW29" s="1245" t="s">
        <v>582</v>
      </c>
    </row>
    <row r="30" spans="1:50" ht="12" customHeight="1" x14ac:dyDescent="0.25">
      <c r="A30" s="2"/>
      <c r="B30" s="1179">
        <f t="shared" ref="B30:B49" si="6">B29+1</f>
        <v>7</v>
      </c>
      <c r="C30" s="2202" t="s">
        <v>587</v>
      </c>
      <c r="D30" s="2203"/>
      <c r="E30" s="2204"/>
      <c r="F30" s="560">
        <v>0</v>
      </c>
      <c r="G30" s="1661">
        <v>0</v>
      </c>
      <c r="H30" s="1661"/>
      <c r="I30" s="1661">
        <v>0</v>
      </c>
      <c r="J30" s="1661">
        <v>0</v>
      </c>
      <c r="K30" s="1661"/>
      <c r="L30" s="1661"/>
      <c r="M30" s="1661">
        <v>0</v>
      </c>
      <c r="N30" s="1661">
        <v>0</v>
      </c>
      <c r="O30" s="1661"/>
      <c r="P30" s="1661"/>
      <c r="Q30" s="1661"/>
      <c r="R30" s="1661"/>
      <c r="S30" s="1170">
        <f>SUM(G30:R30)</f>
        <v>0</v>
      </c>
      <c r="T30" s="1194" t="s">
        <v>3</v>
      </c>
      <c r="U30" s="1164"/>
      <c r="V30" s="1102"/>
      <c r="W30" s="41"/>
      <c r="X30" s="1246"/>
      <c r="Y30" s="1261"/>
      <c r="Z30" s="2200" t="s">
        <v>3</v>
      </c>
      <c r="AA30" s="2201"/>
      <c r="AB30" s="1265"/>
      <c r="AC30" s="1266"/>
      <c r="AD30" s="1275">
        <v>1.5299999999999999E-2</v>
      </c>
      <c r="AE30" s="1264">
        <v>0</v>
      </c>
      <c r="AF30" s="1267"/>
      <c r="AG30" s="2200" t="s">
        <v>3</v>
      </c>
      <c r="AH30" s="2201"/>
      <c r="AI30" s="1265">
        <v>0</v>
      </c>
      <c r="AJ30" s="1265"/>
      <c r="AK30" s="1247">
        <f>AD30</f>
        <v>1.5299999999999999E-2</v>
      </c>
      <c r="AL30" s="1276">
        <v>8.6499999999999994E-2</v>
      </c>
      <c r="AM30" s="1267"/>
      <c r="AN30" s="2211" t="s">
        <v>3</v>
      </c>
      <c r="AO30" s="2201"/>
      <c r="AP30" s="1265" t="s">
        <v>3</v>
      </c>
      <c r="AQ30" s="1265"/>
      <c r="AR30" s="1247">
        <f>AD30</f>
        <v>1.5299999999999999E-2</v>
      </c>
      <c r="AS30" s="1247">
        <f>AL30</f>
        <v>8.6499999999999994E-2</v>
      </c>
      <c r="AT30" s="1268"/>
      <c r="AU30" s="1269"/>
      <c r="AV30" s="1274"/>
      <c r="AW30" s="1270"/>
    </row>
    <row r="31" spans="1:50" ht="12" customHeight="1" x14ac:dyDescent="0.25">
      <c r="B31" s="1179">
        <f t="shared" si="6"/>
        <v>8</v>
      </c>
      <c r="C31" s="1803" t="s">
        <v>588</v>
      </c>
      <c r="D31" s="1805"/>
      <c r="E31" s="1806"/>
      <c r="F31" s="560">
        <v>24</v>
      </c>
      <c r="G31" s="1661">
        <f t="shared" ref="G31:R31" si="7">$U31/12</f>
        <v>0</v>
      </c>
      <c r="H31" s="1661">
        <f t="shared" si="7"/>
        <v>0</v>
      </c>
      <c r="I31" s="1661">
        <f t="shared" si="7"/>
        <v>0</v>
      </c>
      <c r="J31" s="1661">
        <f t="shared" si="7"/>
        <v>0</v>
      </c>
      <c r="K31" s="1661">
        <f t="shared" si="7"/>
        <v>0</v>
      </c>
      <c r="L31" s="1661">
        <f t="shared" si="7"/>
        <v>0</v>
      </c>
      <c r="M31" s="1661">
        <f t="shared" si="7"/>
        <v>0</v>
      </c>
      <c r="N31" s="1661">
        <f t="shared" si="7"/>
        <v>0</v>
      </c>
      <c r="O31" s="1661">
        <f t="shared" si="7"/>
        <v>0</v>
      </c>
      <c r="P31" s="1661">
        <f t="shared" si="7"/>
        <v>0</v>
      </c>
      <c r="Q31" s="1661">
        <f t="shared" si="7"/>
        <v>0</v>
      </c>
      <c r="R31" s="1661">
        <f t="shared" si="7"/>
        <v>0</v>
      </c>
      <c r="S31" s="1170">
        <f>SUM(G31:R31)</f>
        <v>0</v>
      </c>
      <c r="T31" s="1193">
        <f t="shared" ref="T31:T47" si="8">U31-S31</f>
        <v>0</v>
      </c>
      <c r="U31" s="1163">
        <f>-IF(H$12=1,'7. T2 TULOSSUUN.'!G16+'7. T2 TULOSSUUN.'!G16*'8. T5 KASSABUDJETTI'!F31/100,'7. T2 TULOSSUUN.'!I16+'7. T2 TULOSSUUN.'!I16*'8. T5 KASSABUDJETTI'!F31/100)</f>
        <v>0</v>
      </c>
      <c r="V31" s="1102"/>
      <c r="W31" s="41"/>
      <c r="X31" s="2209" t="s">
        <v>589</v>
      </c>
      <c r="Y31" s="2210"/>
      <c r="Z31" s="1020">
        <f>'3. E1 KUSTANNUKSET'!D12</f>
        <v>0</v>
      </c>
      <c r="AA31" s="1248">
        <f>'3. E1 KUSTANNUKSET'!D14*'3. E1 KUSTANNUKSET'!D15</f>
        <v>0</v>
      </c>
      <c r="AB31" s="1248">
        <f>AA31+Z31</f>
        <v>0</v>
      </c>
      <c r="AC31" s="1262">
        <f>'3. E1 KUSTANNUKSET'!D16</f>
        <v>0.3</v>
      </c>
      <c r="AD31" s="1263">
        <f>(AC31+AD$30)*AB31</f>
        <v>0</v>
      </c>
      <c r="AE31" s="1263">
        <v>0</v>
      </c>
      <c r="AF31" s="1250">
        <f>Z31-AB31*AC31</f>
        <v>0</v>
      </c>
      <c r="AG31" s="1020">
        <f>'3. E1 KUSTANNUKSET'!D17</f>
        <v>0</v>
      </c>
      <c r="AH31" s="1248">
        <f>'3. E1 KUSTANNUKSET'!D22</f>
        <v>0</v>
      </c>
      <c r="AI31" s="1248">
        <f>AH31+AG31</f>
        <v>0</v>
      </c>
      <c r="AJ31" s="1262">
        <f>'3. E1 KUSTANNUKSET'!D23</f>
        <v>0.25</v>
      </c>
      <c r="AK31" s="1623">
        <f>(AJ31+AK$30)*AI31</f>
        <v>0</v>
      </c>
      <c r="AL31" s="1271">
        <f>AI31*AL$30</f>
        <v>0</v>
      </c>
      <c r="AM31" s="1250">
        <f>AG31-AI31*AJ31-AL31</f>
        <v>0</v>
      </c>
      <c r="AN31" s="1256">
        <f>'3. E1 KUSTANNUKSET'!D24</f>
        <v>0</v>
      </c>
      <c r="AO31" s="1248">
        <f>'3. E1 KUSTANNUKSET'!D28</f>
        <v>0</v>
      </c>
      <c r="AP31" s="1248">
        <f>AO31+AN31</f>
        <v>0</v>
      </c>
      <c r="AQ31" s="1262">
        <f>'3. E1 KUSTANNUKSET'!D29</f>
        <v>0.27</v>
      </c>
      <c r="AR31" s="1263">
        <f>(AQ31+AR$30)*AP31</f>
        <v>0</v>
      </c>
      <c r="AS31" s="1271">
        <f>AS$30*AP31</f>
        <v>0</v>
      </c>
      <c r="AT31" s="1251">
        <f>AN31-AP31*AQ31-AS31</f>
        <v>0</v>
      </c>
      <c r="AU31" s="1272">
        <f>AR31+AK31+AD31</f>
        <v>0</v>
      </c>
      <c r="AV31" s="1249">
        <f>AS31+AL31+AE31</f>
        <v>0</v>
      </c>
      <c r="AW31" s="1273">
        <f>AT31+AM31+AF31</f>
        <v>0</v>
      </c>
      <c r="AX31">
        <v>0</v>
      </c>
    </row>
    <row r="32" spans="1:50" ht="12" customHeight="1" x14ac:dyDescent="0.25">
      <c r="B32" s="1179">
        <f t="shared" si="6"/>
        <v>9</v>
      </c>
      <c r="C32" s="2202" t="s">
        <v>590</v>
      </c>
      <c r="D32" s="2203"/>
      <c r="E32" s="2204"/>
      <c r="F32" s="560">
        <v>24</v>
      </c>
      <c r="G32" s="1661">
        <v>0</v>
      </c>
      <c r="H32" s="1661">
        <v>0</v>
      </c>
      <c r="I32" s="1661">
        <v>0</v>
      </c>
      <c r="J32" s="1661">
        <v>0</v>
      </c>
      <c r="K32" s="1661">
        <v>0</v>
      </c>
      <c r="L32" s="1661">
        <v>0</v>
      </c>
      <c r="M32" s="1661">
        <v>0</v>
      </c>
      <c r="N32" s="1661">
        <v>0</v>
      </c>
      <c r="O32" s="1661">
        <v>0</v>
      </c>
      <c r="P32" s="1661">
        <v>0</v>
      </c>
      <c r="Q32" s="1661">
        <v>0</v>
      </c>
      <c r="R32" s="1661"/>
      <c r="S32" s="1170">
        <f t="shared" ref="S32:S49" si="9">SUM(G32:R32)</f>
        <v>0</v>
      </c>
      <c r="T32" s="1194" t="s">
        <v>3</v>
      </c>
      <c r="U32" s="1164"/>
      <c r="V32" s="1102"/>
      <c r="W32" s="41"/>
      <c r="X32" s="2209" t="s">
        <v>591</v>
      </c>
      <c r="Y32" s="2210"/>
      <c r="Z32" s="1020">
        <f>'3. E1 KUSTANNUKSET'!F12</f>
        <v>0</v>
      </c>
      <c r="AA32" s="1248">
        <f>'3. E1 KUSTANNUKSET'!F15*'3. E1 KUSTANNUKSET'!F14</f>
        <v>0</v>
      </c>
      <c r="AB32" s="1248">
        <f>AA32+Z32</f>
        <v>0</v>
      </c>
      <c r="AC32" s="1262">
        <f>'3. E1 KUSTANNUKSET'!F16</f>
        <v>0.3</v>
      </c>
      <c r="AD32" s="1263">
        <f>(AC32+AD$30)*AB32</f>
        <v>0</v>
      </c>
      <c r="AE32" s="1271">
        <f t="shared" ref="AE32" si="10">AE$30*$AB32</f>
        <v>0</v>
      </c>
      <c r="AF32" s="1250">
        <f>Z32-AB32*AC32</f>
        <v>0</v>
      </c>
      <c r="AG32" s="1020">
        <f>'3. E1 KUSTANNUKSET'!F17</f>
        <v>0</v>
      </c>
      <c r="AH32" s="1248">
        <f>'3. E1 KUSTANNUKSET'!F22</f>
        <v>0</v>
      </c>
      <c r="AI32" s="1248">
        <f>AH32+AG32</f>
        <v>0</v>
      </c>
      <c r="AJ32" s="1262">
        <f>'3. E1 KUSTANNUKSET'!F23</f>
        <v>0.25</v>
      </c>
      <c r="AK32" s="1263">
        <f>(AJ32+AK$30)*AI32</f>
        <v>0</v>
      </c>
      <c r="AL32" s="1271">
        <f>AI32*AL$30</f>
        <v>0</v>
      </c>
      <c r="AM32" s="1250">
        <f>AG32-AI32*AJ32-AL32</f>
        <v>0</v>
      </c>
      <c r="AN32" s="1256">
        <f>'3. E1 KUSTANNUKSET'!F24</f>
        <v>0</v>
      </c>
      <c r="AO32" s="1248">
        <f>'3. E1 KUSTANNUKSET'!F28</f>
        <v>0</v>
      </c>
      <c r="AP32" s="1248">
        <f>AO32+AN32</f>
        <v>0</v>
      </c>
      <c r="AQ32" s="1262">
        <f>'3. E1 KUSTANNUKSET'!F29</f>
        <v>0.27</v>
      </c>
      <c r="AR32" s="1263">
        <f>(AQ32+AR$30)*AP32</f>
        <v>0</v>
      </c>
      <c r="AS32" s="1271">
        <f>AP32*AS$30</f>
        <v>0</v>
      </c>
      <c r="AT32" s="1251">
        <f>AN32-AP32*AQ32-AS32</f>
        <v>0</v>
      </c>
      <c r="AU32" s="1272">
        <f t="shared" ref="AU32" si="11">AR32+AK32+AD32</f>
        <v>0</v>
      </c>
      <c r="AV32" s="1249">
        <f t="shared" ref="AV32" si="12">AS32+AL32+AE32</f>
        <v>0</v>
      </c>
      <c r="AW32" s="1273">
        <f>AT32+AM32+AF32</f>
        <v>0</v>
      </c>
    </row>
    <row r="33" spans="2:49" ht="12" customHeight="1" x14ac:dyDescent="0.25">
      <c r="B33" s="1179">
        <f t="shared" si="6"/>
        <v>10</v>
      </c>
      <c r="C33" s="2205" t="s">
        <v>592</v>
      </c>
      <c r="D33" s="2206"/>
      <c r="E33" s="2207"/>
      <c r="F33" s="560">
        <v>0</v>
      </c>
      <c r="G33" s="1661">
        <f t="shared" ref="G33:R34" si="13">$U33/12</f>
        <v>0</v>
      </c>
      <c r="H33" s="1661">
        <f t="shared" si="13"/>
        <v>0</v>
      </c>
      <c r="I33" s="1661">
        <f t="shared" si="13"/>
        <v>0</v>
      </c>
      <c r="J33" s="1661">
        <f t="shared" si="13"/>
        <v>0</v>
      </c>
      <c r="K33" s="1661">
        <f t="shared" si="13"/>
        <v>0</v>
      </c>
      <c r="L33" s="1661">
        <f t="shared" si="13"/>
        <v>0</v>
      </c>
      <c r="M33" s="1661">
        <f t="shared" si="13"/>
        <v>0</v>
      </c>
      <c r="N33" s="1661">
        <f t="shared" si="13"/>
        <v>0</v>
      </c>
      <c r="O33" s="1661">
        <f t="shared" si="13"/>
        <v>0</v>
      </c>
      <c r="P33" s="1661">
        <f t="shared" si="13"/>
        <v>0</v>
      </c>
      <c r="Q33" s="1661">
        <f t="shared" si="13"/>
        <v>0</v>
      </c>
      <c r="R33" s="1661">
        <f t="shared" si="13"/>
        <v>0</v>
      </c>
      <c r="S33" s="1170">
        <f t="shared" si="9"/>
        <v>0</v>
      </c>
      <c r="T33" s="1193">
        <f t="shared" si="8"/>
        <v>0</v>
      </c>
      <c r="U33" s="1163">
        <f>IF(H12=1,'3. E1 KUSTANNUKSET'!D53+'3. E1 KUSTANNUKSET'!D53*F33/100,'3. E1 KUSTANNUKSET'!F53+'3. E1 KUSTANNUKSET'!F53*'8. T5 KASSABUDJETTI'!F33/100)</f>
        <v>0</v>
      </c>
      <c r="V33" s="1102"/>
      <c r="W33" s="41"/>
      <c r="X33" s="1277"/>
      <c r="Y33" s="1278"/>
      <c r="Z33" s="1279"/>
      <c r="AA33" s="1279"/>
      <c r="AB33" s="1279"/>
      <c r="AC33" s="1279"/>
      <c r="AD33" s="1280"/>
      <c r="AE33" s="1280"/>
      <c r="AF33" s="1281"/>
      <c r="AG33" s="1279"/>
      <c r="AH33" s="1279"/>
      <c r="AI33" s="1279"/>
      <c r="AJ33" s="1279"/>
      <c r="AK33" s="1282"/>
      <c r="AL33" s="1282"/>
      <c r="AM33" s="1281"/>
      <c r="AN33" s="1279"/>
      <c r="AO33" s="1279"/>
      <c r="AP33" s="1279"/>
      <c r="AQ33" s="1279"/>
      <c r="AR33" s="1282"/>
      <c r="AS33" s="1282"/>
      <c r="AT33" s="1281"/>
      <c r="AU33" s="1282"/>
      <c r="AV33" s="1282"/>
      <c r="AW33" s="1282"/>
    </row>
    <row r="34" spans="2:49" ht="12" customHeight="1" x14ac:dyDescent="0.25">
      <c r="B34" s="1179">
        <f t="shared" si="6"/>
        <v>11</v>
      </c>
      <c r="C34" s="2151" t="s">
        <v>593</v>
      </c>
      <c r="D34" s="2174"/>
      <c r="E34" s="2175"/>
      <c r="F34" s="560">
        <v>24</v>
      </c>
      <c r="G34" s="1661">
        <f t="shared" si="13"/>
        <v>0</v>
      </c>
      <c r="H34" s="1661">
        <f t="shared" si="13"/>
        <v>0</v>
      </c>
      <c r="I34" s="1661">
        <f t="shared" si="13"/>
        <v>0</v>
      </c>
      <c r="J34" s="1661">
        <f t="shared" si="13"/>
        <v>0</v>
      </c>
      <c r="K34" s="1661">
        <f t="shared" si="13"/>
        <v>0</v>
      </c>
      <c r="L34" s="1661">
        <f t="shared" si="13"/>
        <v>0</v>
      </c>
      <c r="M34" s="1661">
        <f t="shared" si="13"/>
        <v>0</v>
      </c>
      <c r="N34" s="1661">
        <f t="shared" si="13"/>
        <v>0</v>
      </c>
      <c r="O34" s="1661">
        <f t="shared" si="13"/>
        <v>0</v>
      </c>
      <c r="P34" s="1661">
        <f t="shared" si="13"/>
        <v>0</v>
      </c>
      <c r="Q34" s="1661">
        <f t="shared" si="13"/>
        <v>0</v>
      </c>
      <c r="R34" s="1661">
        <f t="shared" si="13"/>
        <v>0</v>
      </c>
      <c r="S34" s="1170">
        <f t="shared" si="9"/>
        <v>0</v>
      </c>
      <c r="T34" s="1193">
        <f t="shared" si="8"/>
        <v>0</v>
      </c>
      <c r="U34" s="1163">
        <f>IF(H12=1,'3. E1 KUSTANNUKSET'!D65+'3. E1 KUSTANNUKSET'!D65*'8. T5 KASSABUDJETTI'!F34/100+'3. E1 KUSTANNUKSET'!D77+'3. E1 KUSTANNUKSET'!D77*'8. T5 KASSABUDJETTI'!F34/100,'3. E1 KUSTANNUKSET'!F65+'3. E1 KUSTANNUKSET'!F65*'8. T5 KASSABUDJETTI'!F34/100+'3. E1 KUSTANNUKSET'!F77+'3. E1 KUSTANNUKSET'!F77*'8. T5 KASSABUDJETTI'!F34/100)</f>
        <v>0</v>
      </c>
      <c r="V34" s="1102"/>
      <c r="W34" s="41"/>
      <c r="X34" s="1283"/>
      <c r="Y34" s="431"/>
      <c r="Z34" s="433"/>
      <c r="AA34" s="433"/>
      <c r="AB34" s="433"/>
      <c r="AC34" s="433"/>
      <c r="AD34" s="1284"/>
      <c r="AE34" s="1284"/>
      <c r="AF34" s="1285"/>
      <c r="AG34" s="433"/>
      <c r="AH34" s="433"/>
      <c r="AI34" s="433"/>
      <c r="AJ34" s="433"/>
      <c r="AK34" s="1286"/>
      <c r="AL34" s="1286"/>
      <c r="AM34" s="1285"/>
      <c r="AN34" s="433"/>
      <c r="AO34" s="433"/>
      <c r="AP34" s="433"/>
      <c r="AQ34" s="433"/>
      <c r="AR34" s="1286"/>
      <c r="AS34" s="1286"/>
      <c r="AT34" s="1285"/>
      <c r="AU34" s="1286"/>
      <c r="AV34" s="1286"/>
      <c r="AW34" s="1286"/>
    </row>
    <row r="35" spans="2:49" ht="12" customHeight="1" x14ac:dyDescent="0.25">
      <c r="B35" s="1179">
        <f t="shared" si="6"/>
        <v>12</v>
      </c>
      <c r="C35" s="2151" t="s">
        <v>594</v>
      </c>
      <c r="D35" s="2174"/>
      <c r="E35" s="2175"/>
      <c r="F35" s="560">
        <v>24</v>
      </c>
      <c r="G35" s="1661">
        <f t="shared" ref="G35:R35" si="14">$U35/12</f>
        <v>0</v>
      </c>
      <c r="H35" s="1661">
        <f t="shared" si="14"/>
        <v>0</v>
      </c>
      <c r="I35" s="1661">
        <f t="shared" si="14"/>
        <v>0</v>
      </c>
      <c r="J35" s="1661">
        <f t="shared" si="14"/>
        <v>0</v>
      </c>
      <c r="K35" s="1661">
        <f t="shared" si="14"/>
        <v>0</v>
      </c>
      <c r="L35" s="1661">
        <f t="shared" si="14"/>
        <v>0</v>
      </c>
      <c r="M35" s="1661">
        <f t="shared" si="14"/>
        <v>0</v>
      </c>
      <c r="N35" s="1661">
        <f t="shared" si="14"/>
        <v>0</v>
      </c>
      <c r="O35" s="1661">
        <f t="shared" si="14"/>
        <v>0</v>
      </c>
      <c r="P35" s="1661">
        <f t="shared" si="14"/>
        <v>0</v>
      </c>
      <c r="Q35" s="1661">
        <f t="shared" si="14"/>
        <v>0</v>
      </c>
      <c r="R35" s="1661">
        <f t="shared" si="14"/>
        <v>0</v>
      </c>
      <c r="S35" s="1170">
        <f t="shared" si="9"/>
        <v>0</v>
      </c>
      <c r="T35" s="1193">
        <f t="shared" si="8"/>
        <v>0</v>
      </c>
      <c r="U35" s="1165">
        <f>IF(H12=1,'AT2 Lainat, alv'!E59+'AT2 Lainat, alv'!E59*F35/100,'AT2 Lainat, alv'!G59+'AT2 Lainat, alv'!G59*'8. T5 KASSABUDJETTI'!F35/100)</f>
        <v>0</v>
      </c>
      <c r="V35" s="1231"/>
      <c r="W35" s="41"/>
      <c r="X35" s="1283"/>
      <c r="Y35" s="431"/>
      <c r="Z35" s="433"/>
      <c r="AA35" s="433"/>
      <c r="AB35" s="433"/>
      <c r="AC35" s="433"/>
      <c r="AD35" s="1284"/>
      <c r="AE35" s="1284"/>
      <c r="AF35" s="1285"/>
      <c r="AG35" s="433"/>
      <c r="AH35" s="433"/>
      <c r="AI35" s="433"/>
      <c r="AJ35" s="433"/>
      <c r="AK35" s="1286"/>
      <c r="AL35" s="1286"/>
      <c r="AM35" s="1285"/>
      <c r="AN35" s="433"/>
      <c r="AO35" s="433"/>
      <c r="AP35" s="433"/>
      <c r="AQ35" s="433"/>
      <c r="AR35" s="1286"/>
      <c r="AS35" s="1286"/>
      <c r="AT35" s="1285"/>
      <c r="AU35" s="1286"/>
      <c r="AV35" s="1286"/>
      <c r="AW35" s="1286"/>
    </row>
    <row r="36" spans="2:49" ht="12" customHeight="1" x14ac:dyDescent="0.25">
      <c r="B36" s="1179">
        <f t="shared" si="6"/>
        <v>13</v>
      </c>
      <c r="C36" s="2151" t="s">
        <v>595</v>
      </c>
      <c r="D36" s="2174"/>
      <c r="E36" s="2175"/>
      <c r="F36" s="561"/>
      <c r="G36" s="681">
        <f>IF(H12=1,0,'6. T3 TASE'!H87/2)</f>
        <v>0</v>
      </c>
      <c r="H36" s="681">
        <f>G36</f>
        <v>0</v>
      </c>
      <c r="I36" s="681">
        <f>'AT1 Avustus, alv'!M27</f>
        <v>0</v>
      </c>
      <c r="J36" s="681">
        <f>'AT1 Avustus, alv'!N27</f>
        <v>0</v>
      </c>
      <c r="K36" s="681">
        <f>'AT1 Avustus, alv'!O27</f>
        <v>0</v>
      </c>
      <c r="L36" s="681">
        <f>'AT1 Avustus, alv'!P27</f>
        <v>0</v>
      </c>
      <c r="M36" s="681">
        <f>'AT1 Avustus, alv'!Q27</f>
        <v>0</v>
      </c>
      <c r="N36" s="681">
        <f>'AT1 Avustus, alv'!R27</f>
        <v>0</v>
      </c>
      <c r="O36" s="681">
        <f>'AT1 Avustus, alv'!S27</f>
        <v>0</v>
      </c>
      <c r="P36" s="681">
        <f>'AT1 Avustus, alv'!T27</f>
        <v>0</v>
      </c>
      <c r="Q36" s="681">
        <f>'AT1 Avustus, alv'!U27</f>
        <v>0</v>
      </c>
      <c r="R36" s="681">
        <f>'AT1 Avustus, alv'!V27</f>
        <v>0</v>
      </c>
      <c r="S36" s="1170">
        <f t="shared" si="9"/>
        <v>0</v>
      </c>
      <c r="T36" s="1172" t="s">
        <v>3</v>
      </c>
      <c r="U36" s="1166"/>
      <c r="V36" s="1102"/>
      <c r="W36" s="41"/>
      <c r="X36" s="1283"/>
      <c r="Y36" s="431"/>
      <c r="Z36" s="433"/>
      <c r="AA36" s="433"/>
      <c r="AB36" s="433"/>
      <c r="AC36" s="433"/>
      <c r="AD36" s="1284"/>
      <c r="AE36" s="1284"/>
      <c r="AF36" s="1285"/>
      <c r="AG36" s="433"/>
      <c r="AH36" s="433"/>
      <c r="AI36" s="433"/>
      <c r="AJ36" s="433"/>
      <c r="AK36" s="1286"/>
      <c r="AL36" s="1286"/>
      <c r="AM36" s="1285"/>
      <c r="AN36" s="433"/>
      <c r="AO36" s="433"/>
      <c r="AP36" s="433"/>
      <c r="AQ36" s="433"/>
      <c r="AR36" s="1286"/>
      <c r="AS36" s="1286"/>
      <c r="AT36" s="1285"/>
      <c r="AU36" s="1286"/>
      <c r="AV36" s="1286"/>
      <c r="AW36" s="1286"/>
    </row>
    <row r="37" spans="2:49" ht="12" customHeight="1" x14ac:dyDescent="0.25">
      <c r="B37" s="1179">
        <f t="shared" si="6"/>
        <v>14</v>
      </c>
      <c r="C37" s="2151" t="s">
        <v>596</v>
      </c>
      <c r="D37" s="2152"/>
      <c r="E37" s="2153"/>
      <c r="F37" s="562"/>
      <c r="G37" s="681">
        <f>IF(H12=1,$AW31/12,AW32/12)</f>
        <v>0</v>
      </c>
      <c r="H37" s="681">
        <f>G37</f>
        <v>0</v>
      </c>
      <c r="I37" s="681">
        <f t="shared" ref="I37:R37" si="15">H37</f>
        <v>0</v>
      </c>
      <c r="J37" s="681">
        <f t="shared" si="15"/>
        <v>0</v>
      </c>
      <c r="K37" s="681">
        <f t="shared" si="15"/>
        <v>0</v>
      </c>
      <c r="L37" s="681">
        <f t="shared" si="15"/>
        <v>0</v>
      </c>
      <c r="M37" s="681">
        <f t="shared" si="15"/>
        <v>0</v>
      </c>
      <c r="N37" s="681">
        <f t="shared" si="15"/>
        <v>0</v>
      </c>
      <c r="O37" s="681">
        <f t="shared" si="15"/>
        <v>0</v>
      </c>
      <c r="P37" s="681">
        <f t="shared" si="15"/>
        <v>0</v>
      </c>
      <c r="Q37" s="681">
        <f t="shared" si="15"/>
        <v>0</v>
      </c>
      <c r="R37" s="681">
        <f t="shared" si="15"/>
        <v>0</v>
      </c>
      <c r="S37" s="1170">
        <f t="shared" si="9"/>
        <v>0</v>
      </c>
      <c r="T37" s="1173" t="s">
        <v>3</v>
      </c>
      <c r="U37" s="1078"/>
      <c r="V37" s="1078"/>
      <c r="W37" s="41"/>
      <c r="X37" s="1283"/>
      <c r="Y37" s="431"/>
      <c r="Z37" s="433"/>
      <c r="AA37" s="433"/>
      <c r="AB37" s="433"/>
      <c r="AC37" s="433"/>
      <c r="AD37" s="1284"/>
      <c r="AE37" s="1284"/>
      <c r="AF37" s="1285"/>
      <c r="AG37" s="433"/>
      <c r="AH37" s="433"/>
      <c r="AI37" s="433"/>
      <c r="AJ37" s="433"/>
      <c r="AK37" s="1286"/>
      <c r="AL37" s="1286"/>
      <c r="AM37" s="1285"/>
      <c r="AN37" s="433"/>
      <c r="AO37" s="433"/>
      <c r="AP37" s="433"/>
      <c r="AQ37" s="433"/>
      <c r="AR37" s="1286"/>
      <c r="AS37" s="1286"/>
      <c r="AT37" s="1285"/>
      <c r="AU37" s="1286"/>
      <c r="AV37" s="1286"/>
      <c r="AW37" s="1286"/>
    </row>
    <row r="38" spans="2:49" ht="12" customHeight="1" x14ac:dyDescent="0.25">
      <c r="B38" s="1179">
        <f t="shared" si="6"/>
        <v>15</v>
      </c>
      <c r="C38" s="2151" t="s">
        <v>597</v>
      </c>
      <c r="D38" s="2174"/>
      <c r="E38" s="2175"/>
      <c r="F38" s="557"/>
      <c r="G38" s="681">
        <f>IF(H12=2,'6. T3 TASE'!H84+'6. T3 TASE'!H86,0)</f>
        <v>0</v>
      </c>
      <c r="H38" s="681">
        <f>IF(H12=1,AU31/12,AU32/12)</f>
        <v>0</v>
      </c>
      <c r="I38" s="681">
        <f>H38</f>
        <v>0</v>
      </c>
      <c r="J38" s="681">
        <f t="shared" ref="J38:R38" si="16">I38</f>
        <v>0</v>
      </c>
      <c r="K38" s="681">
        <f t="shared" si="16"/>
        <v>0</v>
      </c>
      <c r="L38" s="681">
        <f t="shared" si="16"/>
        <v>0</v>
      </c>
      <c r="M38" s="681">
        <f t="shared" si="16"/>
        <v>0</v>
      </c>
      <c r="N38" s="681">
        <f t="shared" si="16"/>
        <v>0</v>
      </c>
      <c r="O38" s="681">
        <f t="shared" si="16"/>
        <v>0</v>
      </c>
      <c r="P38" s="681">
        <f t="shared" si="16"/>
        <v>0</v>
      </c>
      <c r="Q38" s="681">
        <f t="shared" si="16"/>
        <v>0</v>
      </c>
      <c r="R38" s="681">
        <f t="shared" si="16"/>
        <v>0</v>
      </c>
      <c r="S38" s="1170">
        <f t="shared" si="9"/>
        <v>0</v>
      </c>
      <c r="T38" s="1173" t="s">
        <v>3</v>
      </c>
      <c r="U38" s="1078"/>
      <c r="V38" s="1078"/>
      <c r="W38" s="41"/>
      <c r="X38" s="1283"/>
      <c r="Y38" s="431"/>
      <c r="Z38" s="433"/>
      <c r="AA38" s="433"/>
      <c r="AB38" s="433"/>
      <c r="AC38" s="433"/>
      <c r="AD38" s="1284"/>
      <c r="AE38" s="1284"/>
      <c r="AF38" s="1285"/>
      <c r="AG38" s="433"/>
      <c r="AH38" s="433"/>
      <c r="AI38" s="433"/>
      <c r="AJ38" s="433"/>
      <c r="AK38" s="1286"/>
      <c r="AL38" s="1286"/>
      <c r="AM38" s="1285"/>
      <c r="AN38" s="433"/>
      <c r="AO38" s="433"/>
      <c r="AP38" s="433"/>
      <c r="AQ38" s="433"/>
      <c r="AR38" s="1286"/>
      <c r="AS38" s="1286"/>
      <c r="AT38" s="1285"/>
      <c r="AU38" s="1286"/>
      <c r="AV38" s="1286"/>
      <c r="AW38" s="1286"/>
    </row>
    <row r="39" spans="2:49" ht="12" customHeight="1" x14ac:dyDescent="0.25">
      <c r="B39" s="1179">
        <f t="shared" si="6"/>
        <v>16</v>
      </c>
      <c r="C39" s="2151" t="s">
        <v>598</v>
      </c>
      <c r="D39" s="2152"/>
      <c r="E39" s="2153"/>
      <c r="F39" s="572">
        <v>20.399999999999999</v>
      </c>
      <c r="G39" s="681">
        <f>IF(H12=1,(F39%*'3. E1 KUSTANNUKSET'!D35)/12,(F39%*'3. E1 KUSTANNUKSET'!F35)/12)</f>
        <v>0</v>
      </c>
      <c r="H39" s="681">
        <f>G39</f>
        <v>0</v>
      </c>
      <c r="I39" s="681">
        <f t="shared" ref="I39:R40" si="17">H39</f>
        <v>0</v>
      </c>
      <c r="J39" s="681">
        <f t="shared" si="17"/>
        <v>0</v>
      </c>
      <c r="K39" s="681">
        <f t="shared" si="17"/>
        <v>0</v>
      </c>
      <c r="L39" s="681">
        <f t="shared" si="17"/>
        <v>0</v>
      </c>
      <c r="M39" s="681">
        <f t="shared" si="17"/>
        <v>0</v>
      </c>
      <c r="N39" s="681">
        <f t="shared" si="17"/>
        <v>0</v>
      </c>
      <c r="O39" s="681">
        <f t="shared" si="17"/>
        <v>0</v>
      </c>
      <c r="P39" s="681">
        <f t="shared" si="17"/>
        <v>0</v>
      </c>
      <c r="Q39" s="681">
        <f t="shared" si="17"/>
        <v>0</v>
      </c>
      <c r="R39" s="681">
        <f t="shared" si="17"/>
        <v>0</v>
      </c>
      <c r="S39" s="1170">
        <f t="shared" si="9"/>
        <v>0</v>
      </c>
      <c r="T39" s="1173" t="s">
        <v>3</v>
      </c>
      <c r="U39" s="1078"/>
      <c r="V39" s="1078"/>
      <c r="W39" s="41"/>
      <c r="X39" s="1283"/>
      <c r="Y39" s="431"/>
      <c r="Z39" s="433"/>
      <c r="AA39" s="433"/>
      <c r="AB39" s="433"/>
      <c r="AC39" s="433"/>
      <c r="AD39" s="1284"/>
      <c r="AE39" s="1284"/>
      <c r="AF39" s="1285"/>
      <c r="AG39" s="433"/>
      <c r="AH39" s="433"/>
      <c r="AI39" s="433"/>
      <c r="AJ39" s="433"/>
      <c r="AK39" s="1286"/>
      <c r="AL39" s="1286"/>
      <c r="AM39" s="1285"/>
      <c r="AN39" s="433"/>
      <c r="AO39" s="433"/>
      <c r="AP39" s="433"/>
      <c r="AQ39" s="433"/>
      <c r="AR39" s="1286"/>
      <c r="AS39" s="1286"/>
      <c r="AT39" s="1285"/>
      <c r="AU39" s="1286"/>
      <c r="AV39" s="1286"/>
      <c r="AW39" s="1286"/>
    </row>
    <row r="40" spans="2:49" ht="12" customHeight="1" x14ac:dyDescent="0.25">
      <c r="B40" s="1179">
        <f t="shared" si="6"/>
        <v>17</v>
      </c>
      <c r="C40" s="2186" t="s">
        <v>599</v>
      </c>
      <c r="D40" s="2187"/>
      <c r="E40" s="2188"/>
      <c r="F40" s="573">
        <v>27.14</v>
      </c>
      <c r="G40" s="681">
        <f>$F40/100*IF(H12=1,(AI31/12+AP31/12),AI32/12+AP32/12)</f>
        <v>0</v>
      </c>
      <c r="H40" s="681">
        <f>G40</f>
        <v>0</v>
      </c>
      <c r="I40" s="681">
        <f t="shared" si="17"/>
        <v>0</v>
      </c>
      <c r="J40" s="681">
        <f t="shared" si="17"/>
        <v>0</v>
      </c>
      <c r="K40" s="681">
        <f t="shared" si="17"/>
        <v>0</v>
      </c>
      <c r="L40" s="681">
        <f t="shared" si="17"/>
        <v>0</v>
      </c>
      <c r="M40" s="681">
        <f t="shared" si="17"/>
        <v>0</v>
      </c>
      <c r="N40" s="681">
        <f t="shared" si="17"/>
        <v>0</v>
      </c>
      <c r="O40" s="681">
        <f t="shared" si="17"/>
        <v>0</v>
      </c>
      <c r="P40" s="681">
        <f t="shared" si="17"/>
        <v>0</v>
      </c>
      <c r="Q40" s="681">
        <f t="shared" si="17"/>
        <v>0</v>
      </c>
      <c r="R40" s="681">
        <f t="shared" si="17"/>
        <v>0</v>
      </c>
      <c r="S40" s="1170">
        <f t="shared" si="9"/>
        <v>0</v>
      </c>
      <c r="T40" s="1174" t="s">
        <v>3</v>
      </c>
      <c r="U40" s="1167"/>
      <c r="V40" s="1078"/>
      <c r="W40" s="41"/>
      <c r="X40" s="1283"/>
      <c r="Y40" s="431"/>
      <c r="Z40" s="433"/>
      <c r="AA40" s="433"/>
      <c r="AB40" s="433"/>
      <c r="AC40" s="433"/>
      <c r="AD40" s="1284"/>
      <c r="AE40" s="1284"/>
      <c r="AF40" s="1285"/>
      <c r="AG40" s="433"/>
      <c r="AH40" s="433"/>
      <c r="AI40" s="433"/>
      <c r="AJ40" s="433"/>
      <c r="AK40" s="1286"/>
      <c r="AL40" s="1286"/>
      <c r="AM40" s="1285"/>
      <c r="AN40" s="433"/>
      <c r="AO40" s="433"/>
      <c r="AP40" s="433"/>
      <c r="AQ40" s="433"/>
      <c r="AR40" s="1286"/>
      <c r="AS40" s="1286"/>
      <c r="AT40" s="1285"/>
      <c r="AU40" s="1286"/>
      <c r="AV40" s="1286"/>
      <c r="AW40" s="1286"/>
    </row>
    <row r="41" spans="2:49" ht="12" customHeight="1" x14ac:dyDescent="0.25">
      <c r="B41" s="1179">
        <f t="shared" si="6"/>
        <v>18</v>
      </c>
      <c r="C41" s="2186" t="s">
        <v>600</v>
      </c>
      <c r="D41" s="2193"/>
      <c r="E41" s="2193"/>
      <c r="F41" s="574"/>
      <c r="G41" s="1661">
        <f>$U41/12</f>
        <v>0</v>
      </c>
      <c r="H41" s="1661">
        <f t="shared" ref="H41:R41" si="18">$U41/12</f>
        <v>0</v>
      </c>
      <c r="I41" s="1661">
        <f t="shared" si="18"/>
        <v>0</v>
      </c>
      <c r="J41" s="1661">
        <f t="shared" si="18"/>
        <v>0</v>
      </c>
      <c r="K41" s="1661">
        <f t="shared" si="18"/>
        <v>0</v>
      </c>
      <c r="L41" s="1661">
        <f t="shared" si="18"/>
        <v>0</v>
      </c>
      <c r="M41" s="1661">
        <f t="shared" si="18"/>
        <v>0</v>
      </c>
      <c r="N41" s="1661">
        <f t="shared" si="18"/>
        <v>0</v>
      </c>
      <c r="O41" s="1661">
        <f t="shared" si="18"/>
        <v>0</v>
      </c>
      <c r="P41" s="1661">
        <f t="shared" si="18"/>
        <v>0</v>
      </c>
      <c r="Q41" s="1661">
        <f t="shared" si="18"/>
        <v>0</v>
      </c>
      <c r="R41" s="1661">
        <f t="shared" si="18"/>
        <v>0</v>
      </c>
      <c r="S41" s="1170">
        <f t="shared" si="9"/>
        <v>0</v>
      </c>
      <c r="T41" s="1193">
        <f t="shared" si="8"/>
        <v>0</v>
      </c>
      <c r="U41" s="1163">
        <f>IF(H12=1,'3. E1 KUSTANNUKSET'!D43+'3. E1 KUSTANNUKSET'!D38+'3. E1 KUSTANNUKSET'!D42,'3. E1 KUSTANNUKSET'!F38+'3. E1 KUSTANNUKSET'!F43+'3. E1 KUSTANNUKSET'!F42)</f>
        <v>0</v>
      </c>
      <c r="V41" s="1102"/>
      <c r="W41" s="41"/>
      <c r="X41" s="1283"/>
      <c r="Y41" s="431"/>
      <c r="Z41" s="433"/>
      <c r="AA41" s="433"/>
      <c r="AB41" s="433"/>
      <c r="AC41" s="433"/>
      <c r="AD41" s="1284"/>
      <c r="AE41" s="1284"/>
      <c r="AF41" s="1285"/>
      <c r="AG41" s="433"/>
      <c r="AH41" s="433"/>
      <c r="AI41" s="433"/>
      <c r="AJ41" s="433"/>
      <c r="AK41" s="1286"/>
      <c r="AL41" s="1286"/>
      <c r="AM41" s="1285"/>
      <c r="AN41" s="433"/>
      <c r="AO41" s="433"/>
      <c r="AP41" s="433"/>
      <c r="AQ41" s="433"/>
      <c r="AR41" s="1286"/>
      <c r="AS41" s="1286"/>
      <c r="AT41" s="1285"/>
      <c r="AU41" s="1286"/>
      <c r="AV41" s="1286"/>
      <c r="AW41" s="1286"/>
    </row>
    <row r="42" spans="2:49" ht="12" customHeight="1" x14ac:dyDescent="0.25">
      <c r="B42" s="1179">
        <f t="shared" si="6"/>
        <v>19</v>
      </c>
      <c r="C42" s="2205" t="s">
        <v>601</v>
      </c>
      <c r="D42" s="2206"/>
      <c r="E42" s="2207"/>
      <c r="F42" s="563"/>
      <c r="G42" s="1661">
        <f>$U42/12</f>
        <v>0</v>
      </c>
      <c r="H42" s="1661">
        <f t="shared" ref="H42:R42" si="19">$U42/12</f>
        <v>0</v>
      </c>
      <c r="I42" s="1661">
        <f t="shared" si="19"/>
        <v>0</v>
      </c>
      <c r="J42" s="1661">
        <f t="shared" si="19"/>
        <v>0</v>
      </c>
      <c r="K42" s="1661">
        <f t="shared" si="19"/>
        <v>0</v>
      </c>
      <c r="L42" s="1661">
        <f t="shared" si="19"/>
        <v>0</v>
      </c>
      <c r="M42" s="1661">
        <f t="shared" si="19"/>
        <v>0</v>
      </c>
      <c r="N42" s="1661">
        <f t="shared" si="19"/>
        <v>0</v>
      </c>
      <c r="O42" s="1661">
        <f t="shared" si="19"/>
        <v>0</v>
      </c>
      <c r="P42" s="1661">
        <f t="shared" si="19"/>
        <v>0</v>
      </c>
      <c r="Q42" s="1661">
        <f t="shared" si="19"/>
        <v>0</v>
      </c>
      <c r="R42" s="1661">
        <f t="shared" si="19"/>
        <v>0</v>
      </c>
      <c r="S42" s="1170">
        <f t="shared" si="9"/>
        <v>0</v>
      </c>
      <c r="T42" s="1193">
        <f t="shared" si="8"/>
        <v>0</v>
      </c>
      <c r="U42" s="1163">
        <f>IF(H12=1,'3. E1 KUSTANNUKSET'!D129,'3. E1 KUSTANNUKSET'!F129)</f>
        <v>0</v>
      </c>
      <c r="V42" s="1102"/>
      <c r="W42" s="41"/>
      <c r="X42" s="1283"/>
      <c r="Y42" s="431"/>
      <c r="Z42" s="433"/>
      <c r="AA42" s="433"/>
      <c r="AB42" s="433"/>
      <c r="AC42" s="433"/>
      <c r="AD42" s="1284"/>
      <c r="AE42" s="1284"/>
      <c r="AF42" s="1285"/>
      <c r="AG42" s="433"/>
      <c r="AH42" s="433"/>
      <c r="AI42" s="433"/>
      <c r="AJ42" s="433"/>
      <c r="AK42" s="1286"/>
      <c r="AL42" s="1286"/>
      <c r="AM42" s="1285"/>
      <c r="AN42" s="433"/>
      <c r="AO42" s="433"/>
      <c r="AP42" s="433"/>
      <c r="AQ42" s="433"/>
      <c r="AR42" s="1286"/>
      <c r="AS42" s="1286"/>
      <c r="AT42" s="1285"/>
      <c r="AU42" s="1286"/>
      <c r="AV42" s="1286"/>
      <c r="AW42" s="1286"/>
    </row>
    <row r="43" spans="2:49" ht="12" customHeight="1" x14ac:dyDescent="0.25">
      <c r="B43" s="1179">
        <f t="shared" si="6"/>
        <v>20</v>
      </c>
      <c r="C43" s="2151" t="s">
        <v>602</v>
      </c>
      <c r="D43" s="2174"/>
      <c r="E43" s="2175"/>
      <c r="F43" s="557"/>
      <c r="G43" s="1661">
        <f>$U43/12</f>
        <v>0</v>
      </c>
      <c r="H43" s="1661">
        <f t="shared" ref="H43:R45" si="20">$U43/12</f>
        <v>0</v>
      </c>
      <c r="I43" s="1661">
        <f t="shared" si="20"/>
        <v>0</v>
      </c>
      <c r="J43" s="1661">
        <f t="shared" si="20"/>
        <v>0</v>
      </c>
      <c r="K43" s="1661">
        <f t="shared" si="20"/>
        <v>0</v>
      </c>
      <c r="L43" s="1661">
        <f t="shared" si="20"/>
        <v>0</v>
      </c>
      <c r="M43" s="1661">
        <f t="shared" si="20"/>
        <v>0</v>
      </c>
      <c r="N43" s="1661">
        <f t="shared" si="20"/>
        <v>0</v>
      </c>
      <c r="O43" s="1661">
        <f t="shared" si="20"/>
        <v>0</v>
      </c>
      <c r="P43" s="1661">
        <f t="shared" si="20"/>
        <v>0</v>
      </c>
      <c r="Q43" s="1661">
        <f t="shared" si="20"/>
        <v>0</v>
      </c>
      <c r="R43" s="1661">
        <f t="shared" si="20"/>
        <v>0</v>
      </c>
      <c r="S43" s="1170">
        <f t="shared" si="9"/>
        <v>0</v>
      </c>
      <c r="T43" s="1193">
        <f t="shared" si="8"/>
        <v>0</v>
      </c>
      <c r="U43" s="1163">
        <f>IF(H12=1,'AT2 Lainat, alv'!E58,'AT2 Lainat, alv'!G58)</f>
        <v>0</v>
      </c>
      <c r="V43" s="1102"/>
      <c r="W43" s="41"/>
      <c r="X43" s="431"/>
      <c r="Y43" s="1287"/>
      <c r="Z43" s="433"/>
      <c r="AA43" s="433"/>
      <c r="AB43" s="433"/>
      <c r="AC43" s="433"/>
      <c r="AD43" s="1284"/>
      <c r="AE43" s="1284"/>
      <c r="AF43" s="1284"/>
      <c r="AG43" s="433"/>
      <c r="AH43" s="433"/>
      <c r="AI43" s="433"/>
      <c r="AJ43" s="433"/>
      <c r="AK43" s="433"/>
      <c r="AL43" s="433"/>
      <c r="AM43" s="433"/>
      <c r="AN43" s="433"/>
      <c r="AO43" s="433"/>
      <c r="AP43" s="433"/>
      <c r="AQ43" s="433"/>
      <c r="AR43" s="433"/>
      <c r="AS43" s="433"/>
      <c r="AT43" s="433"/>
      <c r="AU43" s="433"/>
      <c r="AV43" s="433"/>
      <c r="AW43" s="433"/>
    </row>
    <row r="44" spans="2:49" ht="12" customHeight="1" x14ac:dyDescent="0.25">
      <c r="B44" s="1179">
        <f t="shared" si="6"/>
        <v>21</v>
      </c>
      <c r="C44" s="2151" t="s">
        <v>603</v>
      </c>
      <c r="D44" s="2174"/>
      <c r="E44" s="2175"/>
      <c r="F44" s="557"/>
      <c r="G44" s="1661">
        <f>$U44/12</f>
        <v>0</v>
      </c>
      <c r="H44" s="1661">
        <f t="shared" si="20"/>
        <v>0</v>
      </c>
      <c r="I44" s="1661">
        <f t="shared" si="20"/>
        <v>0</v>
      </c>
      <c r="J44" s="1661">
        <f t="shared" si="20"/>
        <v>0</v>
      </c>
      <c r="K44" s="1661">
        <f t="shared" si="20"/>
        <v>0</v>
      </c>
      <c r="L44" s="1661">
        <f t="shared" si="20"/>
        <v>0</v>
      </c>
      <c r="M44" s="1661">
        <f t="shared" si="20"/>
        <v>0</v>
      </c>
      <c r="N44" s="1661">
        <f t="shared" si="20"/>
        <v>0</v>
      </c>
      <c r="O44" s="1661">
        <f t="shared" si="20"/>
        <v>0</v>
      </c>
      <c r="P44" s="1661">
        <f t="shared" si="20"/>
        <v>0</v>
      </c>
      <c r="Q44" s="1661">
        <f t="shared" si="20"/>
        <v>0</v>
      </c>
      <c r="R44" s="1661">
        <f t="shared" si="20"/>
        <v>0</v>
      </c>
      <c r="S44" s="1170">
        <f t="shared" si="9"/>
        <v>0</v>
      </c>
      <c r="T44" s="1193">
        <f t="shared" si="8"/>
        <v>0</v>
      </c>
      <c r="U44" s="1163">
        <f>IF(H12=1,'2. T7 LAINAT'!H48,'2. T7 LAINAT'!K48)</f>
        <v>0</v>
      </c>
      <c r="V44" s="1102"/>
      <c r="W44" s="41"/>
      <c r="X44" s="115"/>
      <c r="Y44" s="115"/>
      <c r="Z44" s="115"/>
      <c r="AA44" s="115"/>
      <c r="AB44" s="115"/>
      <c r="AC44" s="115"/>
      <c r="AG44" s="115"/>
      <c r="AH44" s="115"/>
      <c r="AI44" s="115"/>
      <c r="AJ44" s="115"/>
      <c r="AN44" s="115"/>
      <c r="AO44" s="115"/>
      <c r="AP44" s="115"/>
      <c r="AQ44" s="115"/>
    </row>
    <row r="45" spans="2:49" ht="12" customHeight="1" x14ac:dyDescent="0.25">
      <c r="B45" s="1179">
        <f t="shared" si="6"/>
        <v>22</v>
      </c>
      <c r="C45" s="2151" t="s">
        <v>604</v>
      </c>
      <c r="D45" s="2152"/>
      <c r="E45" s="2153"/>
      <c r="F45" s="564"/>
      <c r="G45" s="1661">
        <f>$U45/12</f>
        <v>0</v>
      </c>
      <c r="H45" s="1661">
        <f t="shared" si="20"/>
        <v>0</v>
      </c>
      <c r="I45" s="1661">
        <f t="shared" si="20"/>
        <v>0</v>
      </c>
      <c r="J45" s="1661">
        <f t="shared" si="20"/>
        <v>0</v>
      </c>
      <c r="K45" s="1661">
        <f t="shared" si="20"/>
        <v>0</v>
      </c>
      <c r="L45" s="1661">
        <f t="shared" si="20"/>
        <v>0</v>
      </c>
      <c r="M45" s="1661">
        <f t="shared" si="20"/>
        <v>0</v>
      </c>
      <c r="N45" s="1661">
        <f t="shared" si="20"/>
        <v>0</v>
      </c>
      <c r="O45" s="1661">
        <f t="shared" si="20"/>
        <v>0</v>
      </c>
      <c r="P45" s="1661">
        <f t="shared" si="20"/>
        <v>0</v>
      </c>
      <c r="Q45" s="1661">
        <f t="shared" si="20"/>
        <v>0</v>
      </c>
      <c r="R45" s="1661">
        <f t="shared" si="20"/>
        <v>0</v>
      </c>
      <c r="S45" s="1170">
        <f t="shared" si="9"/>
        <v>0</v>
      </c>
      <c r="T45" s="1193">
        <f t="shared" si="8"/>
        <v>0</v>
      </c>
      <c r="U45" s="1163">
        <f>-IF(H12=1,'7. T2 TULOSSUUN.'!G27,'7. T2 TULOSSUUN.'!I27)</f>
        <v>0</v>
      </c>
      <c r="V45" s="1102"/>
      <c r="W45" s="41"/>
      <c r="X45" s="2138"/>
      <c r="Y45" s="2138"/>
      <c r="Z45" s="2199"/>
      <c r="AA45" s="2199"/>
      <c r="AB45" s="2199"/>
      <c r="AC45" s="1810"/>
      <c r="AG45" s="2199"/>
      <c r="AH45" s="2199"/>
      <c r="AI45" s="2199"/>
      <c r="AJ45" s="1810"/>
      <c r="AN45" s="2199"/>
      <c r="AO45" s="2199"/>
      <c r="AP45" s="2199"/>
      <c r="AQ45" s="1810"/>
    </row>
    <row r="46" spans="2:49" ht="12" customHeight="1" x14ac:dyDescent="0.25">
      <c r="B46" s="1179">
        <f t="shared" si="6"/>
        <v>23</v>
      </c>
      <c r="C46" s="2151" t="s">
        <v>605</v>
      </c>
      <c r="D46" s="2152"/>
      <c r="E46" s="2153"/>
      <c r="F46" s="564"/>
      <c r="G46" s="1661">
        <v>0</v>
      </c>
      <c r="H46" s="1661"/>
      <c r="I46" s="1661"/>
      <c r="J46" s="1661"/>
      <c r="K46" s="1661"/>
      <c r="L46" s="1661"/>
      <c r="M46" s="1661"/>
      <c r="N46" s="1661"/>
      <c r="O46" s="1661"/>
      <c r="P46" s="1661"/>
      <c r="Q46" s="1661"/>
      <c r="R46" s="1661"/>
      <c r="S46" s="1170">
        <f t="shared" si="9"/>
        <v>0</v>
      </c>
      <c r="T46" s="1194" t="s">
        <v>3</v>
      </c>
      <c r="U46" s="1166"/>
      <c r="V46" s="1102"/>
      <c r="W46" s="41"/>
      <c r="X46" s="2138"/>
      <c r="Y46" s="2138"/>
      <c r="Z46" s="2199"/>
      <c r="AA46" s="2199"/>
      <c r="AB46" s="2199"/>
      <c r="AC46" s="1810"/>
      <c r="AG46" s="2199"/>
      <c r="AH46" s="2199"/>
      <c r="AI46" s="2199"/>
      <c r="AJ46" s="1810"/>
      <c r="AN46" s="2199"/>
      <c r="AO46" s="2199"/>
      <c r="AP46" s="2199"/>
      <c r="AQ46" s="1810"/>
    </row>
    <row r="47" spans="2:49" ht="12" customHeight="1" x14ac:dyDescent="0.25">
      <c r="B47" s="1179">
        <f t="shared" si="6"/>
        <v>24</v>
      </c>
      <c r="C47" s="2151" t="s">
        <v>606</v>
      </c>
      <c r="D47" s="2152"/>
      <c r="E47" s="2153"/>
      <c r="F47" s="565"/>
      <c r="G47" s="1661">
        <f>$U47/12</f>
        <v>0</v>
      </c>
      <c r="H47" s="1661">
        <f t="shared" ref="H47:R47" si="21">$U47/12</f>
        <v>0</v>
      </c>
      <c r="I47" s="1661">
        <f t="shared" si="21"/>
        <v>0</v>
      </c>
      <c r="J47" s="1661">
        <f t="shared" si="21"/>
        <v>0</v>
      </c>
      <c r="K47" s="1661">
        <f t="shared" si="21"/>
        <v>0</v>
      </c>
      <c r="L47" s="1661">
        <f t="shared" si="21"/>
        <v>0</v>
      </c>
      <c r="M47" s="1661">
        <f t="shared" si="21"/>
        <v>0</v>
      </c>
      <c r="N47" s="1661">
        <f t="shared" si="21"/>
        <v>0</v>
      </c>
      <c r="O47" s="1661">
        <f t="shared" si="21"/>
        <v>0</v>
      </c>
      <c r="P47" s="1661">
        <f t="shared" si="21"/>
        <v>0</v>
      </c>
      <c r="Q47" s="1661">
        <f t="shared" si="21"/>
        <v>0</v>
      </c>
      <c r="R47" s="1661">
        <f t="shared" si="21"/>
        <v>0</v>
      </c>
      <c r="S47" s="1170">
        <f t="shared" si="9"/>
        <v>0</v>
      </c>
      <c r="T47" s="1193">
        <f t="shared" si="8"/>
        <v>0</v>
      </c>
      <c r="U47" s="1163">
        <f>IF(H12=1,'3. E1 KUSTANNUKSET'!D127,'3. E1 KUSTANNUKSET'!F127)</f>
        <v>0</v>
      </c>
      <c r="V47" s="1102"/>
      <c r="W47" s="41"/>
      <c r="X47" s="2138"/>
      <c r="Y47" s="2138"/>
      <c r="Z47" s="2199"/>
      <c r="AA47" s="2199"/>
      <c r="AB47" s="2199"/>
      <c r="AC47" s="1810"/>
      <c r="AG47" s="2199"/>
      <c r="AH47" s="2199"/>
      <c r="AI47" s="2199"/>
      <c r="AJ47" s="1810"/>
      <c r="AN47" s="2199"/>
      <c r="AO47" s="2199"/>
      <c r="AP47" s="2199"/>
      <c r="AQ47" s="1810"/>
    </row>
    <row r="48" spans="2:49" ht="12" customHeight="1" x14ac:dyDescent="0.25">
      <c r="B48" s="1179">
        <f t="shared" si="6"/>
        <v>25</v>
      </c>
      <c r="C48" s="2167" t="s">
        <v>607</v>
      </c>
      <c r="D48" s="2168"/>
      <c r="E48" s="2169"/>
      <c r="F48" s="564"/>
      <c r="G48" s="1661">
        <v>0</v>
      </c>
      <c r="H48" s="1661"/>
      <c r="I48" s="1661"/>
      <c r="J48" s="1661"/>
      <c r="K48" s="1661"/>
      <c r="L48" s="1661"/>
      <c r="M48" s="1661"/>
      <c r="N48" s="1661"/>
      <c r="O48" s="1661"/>
      <c r="P48" s="1661"/>
      <c r="Q48" s="1661">
        <v>0</v>
      </c>
      <c r="R48" s="1661">
        <v>0</v>
      </c>
      <c r="S48" s="1170">
        <f t="shared" si="9"/>
        <v>0</v>
      </c>
      <c r="T48" s="1172" t="s">
        <v>3</v>
      </c>
      <c r="U48" s="1102">
        <v>0</v>
      </c>
      <c r="V48" s="1102"/>
      <c r="W48" s="41"/>
      <c r="X48" s="2138"/>
      <c r="Y48" s="2138"/>
      <c r="Z48" s="2199"/>
      <c r="AA48" s="2199"/>
      <c r="AB48" s="2199"/>
      <c r="AC48" s="1810"/>
      <c r="AG48" s="2199"/>
      <c r="AH48" s="2199"/>
      <c r="AI48" s="2199"/>
      <c r="AJ48" s="1810"/>
      <c r="AN48" s="2199"/>
      <c r="AO48" s="2199"/>
      <c r="AP48" s="2199"/>
      <c r="AQ48" s="1810"/>
    </row>
    <row r="49" spans="2:43" ht="12" customHeight="1" thickBot="1" x14ac:dyDescent="0.3">
      <c r="B49" s="1179">
        <f t="shared" si="6"/>
        <v>26</v>
      </c>
      <c r="C49" s="2167"/>
      <c r="D49" s="2168"/>
      <c r="E49" s="2169"/>
      <c r="F49" s="564"/>
      <c r="G49" s="1661">
        <v>0</v>
      </c>
      <c r="H49" s="1661"/>
      <c r="I49" s="1661"/>
      <c r="J49" s="1661">
        <v>0</v>
      </c>
      <c r="K49" s="1661"/>
      <c r="L49" s="1661"/>
      <c r="M49" s="1661"/>
      <c r="N49" s="1661"/>
      <c r="O49" s="1661"/>
      <c r="P49" s="1661"/>
      <c r="Q49" s="1661"/>
      <c r="R49" s="1661">
        <v>0</v>
      </c>
      <c r="S49" s="1175">
        <f t="shared" si="9"/>
        <v>0</v>
      </c>
      <c r="T49" s="1173" t="s">
        <v>3</v>
      </c>
      <c r="W49" s="41"/>
      <c r="X49" s="136"/>
      <c r="Y49" s="136"/>
      <c r="Z49" s="1221"/>
      <c r="AA49" s="1221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</row>
    <row r="50" spans="2:43" ht="14.4" thickTop="1" thickBot="1" x14ac:dyDescent="0.3">
      <c r="B50" s="1183"/>
      <c r="C50" s="692" t="s">
        <v>608</v>
      </c>
      <c r="D50" s="299"/>
      <c r="E50" s="300"/>
      <c r="F50" s="301"/>
      <c r="G50" s="685">
        <f>SUM(G29:G49)</f>
        <v>0</v>
      </c>
      <c r="H50" s="685">
        <f t="shared" ref="H50:Q50" si="22">SUM(H29:H49)</f>
        <v>0</v>
      </c>
      <c r="I50" s="685">
        <f t="shared" si="22"/>
        <v>0</v>
      </c>
      <c r="J50" s="685">
        <f t="shared" si="22"/>
        <v>0</v>
      </c>
      <c r="K50" s="685">
        <f t="shared" si="22"/>
        <v>0</v>
      </c>
      <c r="L50" s="685">
        <f t="shared" si="22"/>
        <v>0</v>
      </c>
      <c r="M50" s="685">
        <f t="shared" si="22"/>
        <v>0</v>
      </c>
      <c r="N50" s="685">
        <f t="shared" si="22"/>
        <v>0</v>
      </c>
      <c r="O50" s="685">
        <f t="shared" si="22"/>
        <v>0</v>
      </c>
      <c r="P50" s="685">
        <f t="shared" si="22"/>
        <v>0</v>
      </c>
      <c r="Q50" s="685">
        <f t="shared" si="22"/>
        <v>0</v>
      </c>
      <c r="R50" s="685">
        <f>SUM(R29:R49)</f>
        <v>0</v>
      </c>
      <c r="S50" s="1176">
        <f>SUM(G50:R50)</f>
        <v>0</v>
      </c>
      <c r="T50" s="207"/>
      <c r="U50" s="1393" t="s">
        <v>609</v>
      </c>
      <c r="V50" s="1749"/>
      <c r="W50" s="4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2:43" ht="4.3499999999999996" customHeight="1" thickTop="1" thickBot="1" x14ac:dyDescent="0.3">
      <c r="B51" s="693"/>
      <c r="C51" s="694"/>
      <c r="D51" s="695"/>
      <c r="E51" s="695"/>
      <c r="F51" s="696"/>
      <c r="G51" s="697"/>
      <c r="H51" s="697"/>
      <c r="I51" s="697"/>
      <c r="J51" s="697"/>
      <c r="K51" s="697"/>
      <c r="L51" s="697"/>
      <c r="M51" s="697"/>
      <c r="N51" s="697"/>
      <c r="O51" s="697"/>
      <c r="P51" s="697"/>
      <c r="Q51" s="697"/>
      <c r="R51" s="697"/>
      <c r="S51" s="698"/>
      <c r="T51" s="207"/>
      <c r="U51" s="2181" t="s">
        <v>566</v>
      </c>
      <c r="V51" s="1749"/>
      <c r="W51" s="41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2:43" ht="12" customHeight="1" thickBot="1" x14ac:dyDescent="0.3">
      <c r="B52" s="1387"/>
      <c r="C52" s="1388" t="s">
        <v>610</v>
      </c>
      <c r="D52" s="1389"/>
      <c r="E52" s="1390"/>
      <c r="F52" s="1391">
        <v>0</v>
      </c>
      <c r="G52" s="1392">
        <f>G28</f>
        <v>45292</v>
      </c>
      <c r="H52" s="1392">
        <f>H28</f>
        <v>45323</v>
      </c>
      <c r="I52" s="1392">
        <f t="shared" ref="I52:R52" si="23">I28</f>
        <v>45354</v>
      </c>
      <c r="J52" s="1392">
        <f t="shared" si="23"/>
        <v>45385</v>
      </c>
      <c r="K52" s="1392">
        <f t="shared" si="23"/>
        <v>45416</v>
      </c>
      <c r="L52" s="1392">
        <f t="shared" si="23"/>
        <v>45447</v>
      </c>
      <c r="M52" s="1392">
        <f t="shared" si="23"/>
        <v>45478</v>
      </c>
      <c r="N52" s="1392">
        <f t="shared" si="23"/>
        <v>45509</v>
      </c>
      <c r="O52" s="1392">
        <f t="shared" si="23"/>
        <v>45540</v>
      </c>
      <c r="P52" s="1392">
        <f t="shared" si="23"/>
        <v>45571</v>
      </c>
      <c r="Q52" s="1392">
        <f t="shared" si="23"/>
        <v>45602</v>
      </c>
      <c r="R52" s="1392">
        <f t="shared" si="23"/>
        <v>45633</v>
      </c>
      <c r="S52" s="1385" t="s">
        <v>551</v>
      </c>
      <c r="T52" s="1795" t="s">
        <v>572</v>
      </c>
      <c r="U52" s="2182"/>
      <c r="V52" s="1749"/>
      <c r="W52" s="41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2:43" ht="12" customHeight="1" x14ac:dyDescent="0.25">
      <c r="B53" s="1184">
        <v>27</v>
      </c>
      <c r="C53" s="2194" t="s">
        <v>611</v>
      </c>
      <c r="D53" s="2195"/>
      <c r="E53" s="2196"/>
      <c r="F53" s="561"/>
      <c r="G53" s="1662">
        <f t="shared" ref="G53:R53" si="24">$U53/12</f>
        <v>0</v>
      </c>
      <c r="H53" s="1662">
        <f t="shared" si="24"/>
        <v>0</v>
      </c>
      <c r="I53" s="1662">
        <f t="shared" si="24"/>
        <v>0</v>
      </c>
      <c r="J53" s="1662">
        <f t="shared" si="24"/>
        <v>0</v>
      </c>
      <c r="K53" s="1662">
        <f t="shared" si="24"/>
        <v>0</v>
      </c>
      <c r="L53" s="1662">
        <f t="shared" si="24"/>
        <v>0</v>
      </c>
      <c r="M53" s="1662">
        <f t="shared" si="24"/>
        <v>0</v>
      </c>
      <c r="N53" s="1662">
        <f t="shared" si="24"/>
        <v>0</v>
      </c>
      <c r="O53" s="1662">
        <f t="shared" si="24"/>
        <v>0</v>
      </c>
      <c r="P53" s="1662">
        <f t="shared" si="24"/>
        <v>0</v>
      </c>
      <c r="Q53" s="1662">
        <f t="shared" si="24"/>
        <v>0</v>
      </c>
      <c r="R53" s="1662">
        <f t="shared" si="24"/>
        <v>0</v>
      </c>
      <c r="S53" s="1177">
        <f t="shared" ref="S53:S58" si="25">SUM(G53:R53)</f>
        <v>0</v>
      </c>
      <c r="T53" s="1195">
        <f t="shared" ref="T53:T58" si="26">U53-S53</f>
        <v>0</v>
      </c>
      <c r="U53" s="1163">
        <f>IF(H12=1,'2. T7 LAINAT'!G38+'2. T7 LAINAT'!H38,'2. T7 LAINAT'!J38+'2. T7 LAINAT'!K38)</f>
        <v>0</v>
      </c>
      <c r="V53" s="1102"/>
      <c r="W53" s="41"/>
      <c r="X53" s="136"/>
      <c r="Y53" s="136"/>
      <c r="Z53" s="136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41"/>
      <c r="AQ53" s="41"/>
    </row>
    <row r="54" spans="2:43" ht="12" customHeight="1" x14ac:dyDescent="0.25">
      <c r="B54" s="1184">
        <f>B53+1</f>
        <v>28</v>
      </c>
      <c r="C54" s="2151" t="s">
        <v>612</v>
      </c>
      <c r="D54" s="2174"/>
      <c r="E54" s="2175"/>
      <c r="F54" s="561"/>
      <c r="G54" s="1662">
        <f>U54</f>
        <v>0</v>
      </c>
      <c r="H54" s="1662"/>
      <c r="I54" s="1662"/>
      <c r="J54" s="1662">
        <v>0</v>
      </c>
      <c r="K54" s="1662">
        <v>0</v>
      </c>
      <c r="L54" s="1662"/>
      <c r="M54" s="1662"/>
      <c r="N54" s="1662"/>
      <c r="O54" s="1662"/>
      <c r="P54" s="1662">
        <v>0</v>
      </c>
      <c r="Q54" s="1662"/>
      <c r="R54" s="1662">
        <v>0</v>
      </c>
      <c r="S54" s="1177">
        <f t="shared" si="25"/>
        <v>0</v>
      </c>
      <c r="T54" s="1195">
        <f t="shared" si="26"/>
        <v>0</v>
      </c>
      <c r="U54" s="1163">
        <f>IF(H12=1,'2. T7 LAINAT'!F48,'2. T7 LAINAT'!I48)</f>
        <v>0</v>
      </c>
      <c r="V54" s="1102"/>
      <c r="W54" s="41"/>
      <c r="X54" s="136"/>
      <c r="Y54" s="136"/>
      <c r="Z54" s="136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41"/>
      <c r="AQ54" s="41"/>
    </row>
    <row r="55" spans="2:43" ht="12" customHeight="1" x14ac:dyDescent="0.25">
      <c r="B55" s="1184">
        <f>B54+1</f>
        <v>29</v>
      </c>
      <c r="C55" s="2151" t="s">
        <v>613</v>
      </c>
      <c r="D55" s="2174"/>
      <c r="E55" s="2175"/>
      <c r="F55" s="557"/>
      <c r="G55" s="1661">
        <f>$U55/12</f>
        <v>0</v>
      </c>
      <c r="H55" s="1661">
        <f t="shared" ref="H55:Q55" si="27">$U55/12</f>
        <v>0</v>
      </c>
      <c r="I55" s="1661">
        <f t="shared" si="27"/>
        <v>0</v>
      </c>
      <c r="J55" s="1661">
        <f t="shared" si="27"/>
        <v>0</v>
      </c>
      <c r="K55" s="1661">
        <f t="shared" si="27"/>
        <v>0</v>
      </c>
      <c r="L55" s="1661">
        <f t="shared" si="27"/>
        <v>0</v>
      </c>
      <c r="M55" s="1661">
        <f t="shared" si="27"/>
        <v>0</v>
      </c>
      <c r="N55" s="1661">
        <f t="shared" si="27"/>
        <v>0</v>
      </c>
      <c r="O55" s="1661">
        <f t="shared" si="27"/>
        <v>0</v>
      </c>
      <c r="P55" s="1661">
        <f t="shared" si="27"/>
        <v>0</v>
      </c>
      <c r="Q55" s="1661">
        <f t="shared" si="27"/>
        <v>0</v>
      </c>
      <c r="R55" s="1661">
        <f>$U55/12</f>
        <v>0</v>
      </c>
      <c r="S55" s="1177">
        <f t="shared" si="25"/>
        <v>0</v>
      </c>
      <c r="T55" s="1195">
        <f t="shared" si="26"/>
        <v>0</v>
      </c>
      <c r="U55" s="1163">
        <f>IF(H12=1,'2. T7 LAINAT'!G32,'2. T7 LAINAT'!J32)</f>
        <v>0</v>
      </c>
      <c r="V55" s="1102"/>
      <c r="W55" s="41"/>
      <c r="X55" s="136"/>
      <c r="Y55" s="136"/>
      <c r="Z55" s="136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41"/>
      <c r="AQ55" s="41"/>
    </row>
    <row r="56" spans="2:43" ht="12" customHeight="1" x14ac:dyDescent="0.25">
      <c r="B56" s="1184">
        <f>B55+1</f>
        <v>30</v>
      </c>
      <c r="C56" s="2151" t="s">
        <v>614</v>
      </c>
      <c r="D56" s="2174"/>
      <c r="E56" s="2175"/>
      <c r="F56" s="557"/>
      <c r="G56" s="1661">
        <v>0</v>
      </c>
      <c r="H56" s="1661">
        <v>0</v>
      </c>
      <c r="I56" s="1661">
        <v>0</v>
      </c>
      <c r="J56" s="1661">
        <v>0</v>
      </c>
      <c r="K56" s="1661">
        <v>0</v>
      </c>
      <c r="L56" s="1661">
        <v>0</v>
      </c>
      <c r="M56" s="1661">
        <v>0</v>
      </c>
      <c r="N56" s="1661">
        <v>0</v>
      </c>
      <c r="O56" s="1661">
        <v>0</v>
      </c>
      <c r="P56" s="1661">
        <v>0</v>
      </c>
      <c r="Q56" s="1661">
        <v>0</v>
      </c>
      <c r="R56" s="1661">
        <v>0</v>
      </c>
      <c r="S56" s="1177">
        <f t="shared" si="25"/>
        <v>0</v>
      </c>
      <c r="T56" s="1196" t="s">
        <v>3</v>
      </c>
      <c r="U56" s="1166"/>
      <c r="V56" s="1102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2:43" ht="12" customHeight="1" x14ac:dyDescent="0.25">
      <c r="B57" s="1184">
        <f>B56+1</f>
        <v>31</v>
      </c>
      <c r="C57" s="2151" t="s">
        <v>615</v>
      </c>
      <c r="D57" s="2152"/>
      <c r="E57" s="2153"/>
      <c r="F57" s="557"/>
      <c r="G57" s="1661">
        <f>U57</f>
        <v>0</v>
      </c>
      <c r="H57" s="1661"/>
      <c r="I57" s="1661"/>
      <c r="J57" s="1661"/>
      <c r="K57" s="1661"/>
      <c r="L57" s="1661"/>
      <c r="M57" s="1661"/>
      <c r="N57" s="1661"/>
      <c r="O57" s="1661"/>
      <c r="P57" s="1661"/>
      <c r="Q57" s="1661"/>
      <c r="R57" s="1661"/>
      <c r="S57" s="1177">
        <f t="shared" si="25"/>
        <v>0</v>
      </c>
      <c r="T57" s="1195">
        <f t="shared" si="26"/>
        <v>0</v>
      </c>
      <c r="U57" s="1611">
        <f>IF(H12=2,'1. T1 INVESTOINTISUUN.'!F46+'1. T1 INVESTOINTISUUN.'!F47+'1. T1 INVESTOINTISUUN.'!F50,0)</f>
        <v>0</v>
      </c>
      <c r="V57" s="1232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2:43" ht="12" customHeight="1" thickBot="1" x14ac:dyDescent="0.3">
      <c r="B58" s="1184">
        <f>B57+1</f>
        <v>32</v>
      </c>
      <c r="C58" s="2151" t="s">
        <v>616</v>
      </c>
      <c r="D58" s="2174"/>
      <c r="E58" s="2175"/>
      <c r="F58" s="557"/>
      <c r="G58" s="1661">
        <f>U58</f>
        <v>0</v>
      </c>
      <c r="H58" s="1661">
        <v>0</v>
      </c>
      <c r="I58" s="1661"/>
      <c r="J58" s="1661"/>
      <c r="K58" s="1661"/>
      <c r="L58" s="1661">
        <v>0</v>
      </c>
      <c r="M58" s="1661"/>
      <c r="N58" s="1661"/>
      <c r="O58" s="1661"/>
      <c r="P58" s="1661"/>
      <c r="Q58" s="1661"/>
      <c r="R58" s="1661"/>
      <c r="S58" s="1177">
        <f t="shared" si="25"/>
        <v>0</v>
      </c>
      <c r="T58" s="1195">
        <f t="shared" si="26"/>
        <v>0</v>
      </c>
      <c r="U58" s="1611">
        <f>IF(H12=2,'1. T1 INVESTOINTISUUN.'!F49,0)</f>
        <v>0</v>
      </c>
      <c r="V58" s="1232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2:43" ht="12.75" customHeight="1" thickTop="1" thickBot="1" x14ac:dyDescent="0.3">
      <c r="B59" s="1185"/>
      <c r="C59" s="2183" t="s">
        <v>617</v>
      </c>
      <c r="D59" s="2184"/>
      <c r="E59" s="2185"/>
      <c r="F59" s="301"/>
      <c r="G59" s="686">
        <f>-G53+G54-G55-G56+G57+G58</f>
        <v>0</v>
      </c>
      <c r="H59" s="686">
        <f t="shared" ref="H59:R59" si="28">-H53+H54-H55-H56+H57+H58</f>
        <v>0</v>
      </c>
      <c r="I59" s="686">
        <f t="shared" si="28"/>
        <v>0</v>
      </c>
      <c r="J59" s="686">
        <f t="shared" si="28"/>
        <v>0</v>
      </c>
      <c r="K59" s="686">
        <f t="shared" si="28"/>
        <v>0</v>
      </c>
      <c r="L59" s="686">
        <f t="shared" si="28"/>
        <v>0</v>
      </c>
      <c r="M59" s="686">
        <f t="shared" si="28"/>
        <v>0</v>
      </c>
      <c r="N59" s="686">
        <f t="shared" si="28"/>
        <v>0</v>
      </c>
      <c r="O59" s="686">
        <f t="shared" si="28"/>
        <v>0</v>
      </c>
      <c r="P59" s="686">
        <f t="shared" si="28"/>
        <v>0</v>
      </c>
      <c r="Q59" s="686">
        <f t="shared" si="28"/>
        <v>0</v>
      </c>
      <c r="R59" s="686">
        <f t="shared" si="28"/>
        <v>0</v>
      </c>
      <c r="S59" s="1178">
        <f>-S53+S54-S55-S56+S57+S58</f>
        <v>0</v>
      </c>
      <c r="U59" s="218"/>
      <c r="V59" s="218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2:43" ht="4.3499999999999996" customHeight="1" thickTop="1" x14ac:dyDescent="0.25">
      <c r="B60" s="566"/>
      <c r="C60" s="566"/>
      <c r="D60" s="566"/>
      <c r="E60" s="566"/>
      <c r="F60" s="567"/>
      <c r="G60" s="687"/>
      <c r="H60" s="687"/>
      <c r="I60" s="687"/>
      <c r="J60" s="687"/>
      <c r="K60" s="687"/>
      <c r="L60" s="687"/>
      <c r="M60" s="687"/>
      <c r="N60" s="687"/>
      <c r="O60" s="687"/>
      <c r="P60" s="687"/>
      <c r="Q60" s="687"/>
      <c r="R60" s="687"/>
      <c r="S60" s="688"/>
      <c r="U60" s="218"/>
      <c r="V60" s="218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2:43" ht="13.8" thickBot="1" x14ac:dyDescent="0.3">
      <c r="B61" s="1187">
        <v>33</v>
      </c>
      <c r="C61" s="2177" t="s">
        <v>618</v>
      </c>
      <c r="D61" s="2178"/>
      <c r="E61" s="2178"/>
      <c r="F61" s="2179"/>
      <c r="G61" s="691">
        <f>G26-G50+G59</f>
        <v>0</v>
      </c>
      <c r="H61" s="691">
        <f>H26-H50+H59</f>
        <v>0</v>
      </c>
      <c r="I61" s="691">
        <f t="shared" ref="I61:R61" si="29">I26-I50+I59</f>
        <v>0</v>
      </c>
      <c r="J61" s="691">
        <f t="shared" si="29"/>
        <v>0</v>
      </c>
      <c r="K61" s="691">
        <f t="shared" si="29"/>
        <v>0</v>
      </c>
      <c r="L61" s="691">
        <f t="shared" si="29"/>
        <v>0</v>
      </c>
      <c r="M61" s="691">
        <f t="shared" si="29"/>
        <v>0</v>
      </c>
      <c r="N61" s="691">
        <f t="shared" si="29"/>
        <v>0</v>
      </c>
      <c r="O61" s="691">
        <f t="shared" si="29"/>
        <v>0</v>
      </c>
      <c r="P61" s="691">
        <f t="shared" si="29"/>
        <v>0</v>
      </c>
      <c r="Q61" s="691">
        <f t="shared" si="29"/>
        <v>0</v>
      </c>
      <c r="R61" s="1669">
        <f t="shared" si="29"/>
        <v>0</v>
      </c>
      <c r="S61" s="1188">
        <f>SUM(G61:R61)</f>
        <v>0</v>
      </c>
      <c r="U61" s="218"/>
      <c r="V61" s="218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 t="s">
        <v>272</v>
      </c>
      <c r="AJ61" s="4"/>
      <c r="AK61" s="4"/>
      <c r="AL61" s="4"/>
      <c r="AM61" s="4"/>
      <c r="AN61" s="4"/>
      <c r="AO61" s="4"/>
    </row>
    <row r="62" spans="2:43" ht="13.8" thickBot="1" x14ac:dyDescent="0.3">
      <c r="B62" s="1186">
        <v>34</v>
      </c>
      <c r="C62" s="2171" t="s">
        <v>619</v>
      </c>
      <c r="D62" s="2172"/>
      <c r="E62" s="2172"/>
      <c r="F62" s="2173"/>
      <c r="G62" s="691">
        <f>G17+G61+G18</f>
        <v>0</v>
      </c>
      <c r="H62" s="691">
        <f t="shared" ref="H62:R62" si="30">H17+H61+H18</f>
        <v>0</v>
      </c>
      <c r="I62" s="691">
        <f t="shared" si="30"/>
        <v>0</v>
      </c>
      <c r="J62" s="691">
        <f t="shared" si="30"/>
        <v>0</v>
      </c>
      <c r="K62" s="691">
        <f t="shared" si="30"/>
        <v>0</v>
      </c>
      <c r="L62" s="691">
        <f t="shared" si="30"/>
        <v>0</v>
      </c>
      <c r="M62" s="691">
        <f t="shared" si="30"/>
        <v>0</v>
      </c>
      <c r="N62" s="691">
        <f t="shared" si="30"/>
        <v>0</v>
      </c>
      <c r="O62" s="691">
        <f t="shared" si="30"/>
        <v>0</v>
      </c>
      <c r="P62" s="691">
        <f t="shared" si="30"/>
        <v>0</v>
      </c>
      <c r="Q62" s="1667">
        <f t="shared" si="30"/>
        <v>0</v>
      </c>
      <c r="R62" s="1670">
        <f t="shared" si="30"/>
        <v>0</v>
      </c>
      <c r="S62" s="1668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2:43" ht="4.3499999999999996" customHeight="1" x14ac:dyDescent="0.25">
      <c r="B63" s="122"/>
      <c r="C63" s="122"/>
      <c r="D63" s="40"/>
      <c r="E63" s="40"/>
      <c r="F63" s="78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123"/>
      <c r="R63" s="122"/>
      <c r="S63" s="95">
        <v>0</v>
      </c>
    </row>
    <row r="64" spans="2:43" x14ac:dyDescent="0.25">
      <c r="B64" s="40">
        <f>'7. T2 TULOSSUUN.'!B35</f>
        <v>0</v>
      </c>
      <c r="C64" s="40"/>
      <c r="D64" s="40"/>
      <c r="E64" s="40"/>
      <c r="F64" s="78"/>
      <c r="S64" s="121" t="str">
        <f>OHJE!F6</f>
        <v>Palvelun tarjoavat</v>
      </c>
      <c r="AP64" s="76"/>
      <c r="AQ64" s="76"/>
    </row>
    <row r="65" spans="1:43" s="41" customFormat="1" ht="15" customHeight="1" x14ac:dyDescent="0.25">
      <c r="B65" s="38" t="str">
        <f>'7. T2 TULOSSUUN.'!B36</f>
        <v>YT6 Aloittavan yrityksen tulossuunnitelma</v>
      </c>
      <c r="C65" s="38"/>
      <c r="D65" s="38"/>
      <c r="E65" s="38"/>
      <c r="F65" s="60"/>
      <c r="S65" s="1802" t="str">
        <f>'7. T2 TULOSSUUN.'!G36</f>
        <v>Iisalmi, Lapinlahti, Sonkajärvi, Vieremä</v>
      </c>
      <c r="U65" s="207"/>
      <c r="V65" s="207"/>
      <c r="X65" s="38"/>
      <c r="AP65" s="1802"/>
      <c r="AQ65" s="1802"/>
    </row>
    <row r="66" spans="1:43" x14ac:dyDescent="0.25">
      <c r="B66" s="1902"/>
      <c r="C66" s="1902"/>
      <c r="D66" s="40"/>
      <c r="E66" s="40"/>
      <c r="F66" s="78"/>
    </row>
    <row r="67" spans="1:43" ht="15.6" x14ac:dyDescent="0.3">
      <c r="D67" s="2180" t="s">
        <v>546</v>
      </c>
      <c r="E67" s="2180"/>
      <c r="F67" s="2180"/>
      <c r="I67" s="334" t="str">
        <f>E12</f>
        <v xml:space="preserve">ENNUSTEVUOSI </v>
      </c>
      <c r="J67" s="1746">
        <f>H12</f>
        <v>1</v>
      </c>
      <c r="N67" s="19" t="str">
        <f>O12</f>
        <v>1/20XX - 12/20XX</v>
      </c>
    </row>
    <row r="68" spans="1:43" ht="5.25" customHeight="1" x14ac:dyDescent="0.3">
      <c r="D68" s="1807"/>
      <c r="E68" s="1807"/>
      <c r="F68" s="1807"/>
      <c r="H68" s="19"/>
      <c r="N68" s="19"/>
    </row>
    <row r="69" spans="1:43" x14ac:dyDescent="0.25">
      <c r="D69" s="99" t="str">
        <f>B13</f>
        <v xml:space="preserve"> Yritys</v>
      </c>
    </row>
    <row r="70" spans="1:43" ht="12.75" customHeight="1" x14ac:dyDescent="0.3">
      <c r="D70" s="132">
        <f>B14</f>
        <v>0</v>
      </c>
      <c r="E70" s="133"/>
      <c r="F70" s="134"/>
      <c r="G70" s="131"/>
      <c r="J70" s="19"/>
      <c r="K70" s="19"/>
      <c r="L70" s="19"/>
      <c r="M70" s="19"/>
      <c r="O70" s="19"/>
      <c r="P70" s="19"/>
      <c r="Q70" s="131"/>
    </row>
    <row r="71" spans="1:43" ht="4.5" customHeight="1" x14ac:dyDescent="0.25"/>
    <row r="76" spans="1:43" x14ac:dyDescent="0.25">
      <c r="A76" s="113"/>
    </row>
    <row r="86" spans="18:18" x14ac:dyDescent="0.25">
      <c r="R86" s="32"/>
    </row>
    <row r="100" spans="3:19" ht="13.8" thickBot="1" x14ac:dyDescent="0.3"/>
    <row r="101" spans="3:19" ht="13.8" thickBot="1" x14ac:dyDescent="0.3">
      <c r="C101" s="2176"/>
      <c r="D101" s="2176"/>
      <c r="E101" s="2176"/>
      <c r="F101" s="320"/>
      <c r="G101" s="1509">
        <f>G16</f>
        <v>45292</v>
      </c>
      <c r="H101" s="321">
        <f t="shared" ref="H101:R101" si="31">H16</f>
        <v>45323</v>
      </c>
      <c r="I101" s="321">
        <f t="shared" si="31"/>
        <v>45354</v>
      </c>
      <c r="J101" s="321">
        <f t="shared" si="31"/>
        <v>45385</v>
      </c>
      <c r="K101" s="321">
        <f t="shared" si="31"/>
        <v>45416</v>
      </c>
      <c r="L101" s="321">
        <f t="shared" si="31"/>
        <v>45447</v>
      </c>
      <c r="M101" s="321">
        <f t="shared" si="31"/>
        <v>45478</v>
      </c>
      <c r="N101" s="321">
        <f t="shared" si="31"/>
        <v>45509</v>
      </c>
      <c r="O101" s="321">
        <f t="shared" si="31"/>
        <v>45540</v>
      </c>
      <c r="P101" s="321">
        <f t="shared" si="31"/>
        <v>45571</v>
      </c>
      <c r="Q101" s="321">
        <f t="shared" si="31"/>
        <v>45602</v>
      </c>
      <c r="R101" s="321">
        <f t="shared" si="31"/>
        <v>45633</v>
      </c>
      <c r="S101" s="1894" t="s">
        <v>551</v>
      </c>
    </row>
    <row r="102" spans="3:19" x14ac:dyDescent="0.25">
      <c r="C102" s="2177" t="s">
        <v>618</v>
      </c>
      <c r="D102" s="2178"/>
      <c r="E102" s="2178"/>
      <c r="F102" s="2179"/>
      <c r="G102" s="691">
        <f>G61</f>
        <v>0</v>
      </c>
      <c r="H102" s="691">
        <f t="shared" ref="H102:R103" si="32">H61</f>
        <v>0</v>
      </c>
      <c r="I102" s="691">
        <f t="shared" si="32"/>
        <v>0</v>
      </c>
      <c r="J102" s="691">
        <f t="shared" si="32"/>
        <v>0</v>
      </c>
      <c r="K102" s="691">
        <f t="shared" si="32"/>
        <v>0</v>
      </c>
      <c r="L102" s="691">
        <f t="shared" si="32"/>
        <v>0</v>
      </c>
      <c r="M102" s="691">
        <f t="shared" si="32"/>
        <v>0</v>
      </c>
      <c r="N102" s="691">
        <f t="shared" si="32"/>
        <v>0</v>
      </c>
      <c r="O102" s="691">
        <f t="shared" si="32"/>
        <v>0</v>
      </c>
      <c r="P102" s="691">
        <f t="shared" si="32"/>
        <v>0</v>
      </c>
      <c r="Q102" s="691">
        <f t="shared" si="32"/>
        <v>0</v>
      </c>
      <c r="R102" s="691">
        <f t="shared" si="32"/>
        <v>0</v>
      </c>
      <c r="S102" s="1895">
        <f>SUM(G102:R102)</f>
        <v>0</v>
      </c>
    </row>
    <row r="103" spans="3:19" x14ac:dyDescent="0.25">
      <c r="C103" s="2171" t="str">
        <f>C62</f>
        <v>KUMULATIIVINEN KASSA KUUKAUDEN LOPUSSA</v>
      </c>
      <c r="D103" s="2172"/>
      <c r="E103" s="2172"/>
      <c r="F103" s="2173"/>
      <c r="G103" s="691">
        <f>G62</f>
        <v>0</v>
      </c>
      <c r="H103" s="691">
        <f t="shared" si="32"/>
        <v>0</v>
      </c>
      <c r="I103" s="691">
        <f t="shared" si="32"/>
        <v>0</v>
      </c>
      <c r="J103" s="691">
        <f t="shared" si="32"/>
        <v>0</v>
      </c>
      <c r="K103" s="691">
        <f t="shared" si="32"/>
        <v>0</v>
      </c>
      <c r="L103" s="691">
        <f t="shared" si="32"/>
        <v>0</v>
      </c>
      <c r="M103" s="691">
        <f t="shared" si="32"/>
        <v>0</v>
      </c>
      <c r="N103" s="691">
        <f t="shared" si="32"/>
        <v>0</v>
      </c>
      <c r="O103" s="691">
        <f t="shared" si="32"/>
        <v>0</v>
      </c>
      <c r="P103" s="691">
        <f t="shared" si="32"/>
        <v>0</v>
      </c>
      <c r="Q103" s="691">
        <f t="shared" si="32"/>
        <v>0</v>
      </c>
      <c r="R103" s="691">
        <f t="shared" si="32"/>
        <v>0</v>
      </c>
      <c r="S103" s="1896"/>
    </row>
    <row r="104" spans="3:19" x14ac:dyDescent="0.25">
      <c r="C104" s="1205"/>
      <c r="D104" s="1205"/>
      <c r="E104" s="1205"/>
      <c r="F104" s="1205"/>
      <c r="G104" s="1883"/>
      <c r="H104" s="1883"/>
      <c r="I104" s="1883"/>
      <c r="J104" s="1883"/>
      <c r="K104" s="1883"/>
      <c r="L104" s="1883"/>
      <c r="M104" s="1883"/>
      <c r="N104" s="1883"/>
      <c r="O104" s="1883"/>
      <c r="P104" s="1883"/>
      <c r="Q104" s="1883"/>
      <c r="R104" s="1883"/>
      <c r="S104" s="1897"/>
    </row>
    <row r="105" spans="3:19" x14ac:dyDescent="0.25">
      <c r="C105" s="122"/>
      <c r="D105" s="122">
        <f>'1. T1 INVESTOINTISUUN.'!B64</f>
        <v>0</v>
      </c>
      <c r="E105" s="124"/>
      <c r="F105" s="125"/>
      <c r="G105" s="43"/>
      <c r="H105" s="43"/>
      <c r="I105" s="43"/>
      <c r="J105" s="97"/>
      <c r="K105" s="43"/>
      <c r="L105" s="43"/>
      <c r="M105" s="43"/>
      <c r="N105" s="43"/>
      <c r="O105" s="43"/>
      <c r="P105" s="43"/>
      <c r="Q105" s="123"/>
      <c r="R105" s="121" t="str">
        <f>'1. T1 INVESTOINTISUUN.'!I64</f>
        <v>Palvelun tarjoavat</v>
      </c>
    </row>
    <row r="106" spans="3:19" x14ac:dyDescent="0.25">
      <c r="C106" s="1852"/>
      <c r="D106" s="122" t="str">
        <f>'1. T1 INVESTOINTISUUN.'!B65</f>
        <v>Yritystulkki YT6 Aloittavan yrityksen tulossuunnitelma</v>
      </c>
      <c r="E106" s="96"/>
      <c r="F106" s="111"/>
      <c r="G106" s="1898"/>
      <c r="H106" s="1898"/>
      <c r="I106" s="1898"/>
      <c r="J106" s="98"/>
      <c r="K106" s="1898"/>
      <c r="L106" s="1898"/>
      <c r="M106" s="1898"/>
      <c r="N106" s="1898"/>
      <c r="O106" s="1898"/>
      <c r="P106" s="1898"/>
      <c r="Q106" s="1898"/>
      <c r="R106" s="406" t="str">
        <f>'1. T1 INVESTOINTISUUN.'!I65</f>
        <v>Iisalmi, Lapinlahti, Sonkajärvi, Vieremä</v>
      </c>
    </row>
    <row r="109" spans="3:19" x14ac:dyDescent="0.25">
      <c r="D109" s="345" t="s">
        <v>87</v>
      </c>
    </row>
    <row r="110" spans="3:19" x14ac:dyDescent="0.25">
      <c r="D110" s="40" t="s">
        <v>88</v>
      </c>
    </row>
    <row r="111" spans="3:19" x14ac:dyDescent="0.25">
      <c r="D111" s="40" t="s">
        <v>89</v>
      </c>
    </row>
    <row r="200" spans="25:217" x14ac:dyDescent="0.25">
      <c r="Y200">
        <v>0</v>
      </c>
      <c r="Z200">
        <v>10</v>
      </c>
      <c r="AA200">
        <v>1.11111111111111E+118</v>
      </c>
      <c r="AB200">
        <v>1</v>
      </c>
      <c r="AD200">
        <v>1</v>
      </c>
      <c r="AE200">
        <v>1</v>
      </c>
      <c r="AF200">
        <v>1</v>
      </c>
      <c r="AG200">
        <v>1</v>
      </c>
      <c r="AH200">
        <v>1</v>
      </c>
      <c r="AO200">
        <v>1</v>
      </c>
      <c r="AP200">
        <v>1</v>
      </c>
      <c r="AR200">
        <v>1</v>
      </c>
      <c r="AS200">
        <v>1</v>
      </c>
      <c r="AT200">
        <v>1</v>
      </c>
      <c r="AU200">
        <v>1</v>
      </c>
      <c r="AV200">
        <v>1</v>
      </c>
      <c r="AW200">
        <v>1</v>
      </c>
      <c r="AX200">
        <v>1</v>
      </c>
      <c r="AY200">
        <v>1</v>
      </c>
      <c r="AZ200">
        <v>1</v>
      </c>
      <c r="BA200">
        <v>1</v>
      </c>
      <c r="BB200">
        <v>1</v>
      </c>
      <c r="BC200">
        <v>1</v>
      </c>
      <c r="BD200">
        <v>1</v>
      </c>
      <c r="BE200">
        <v>1</v>
      </c>
      <c r="BF200">
        <v>1</v>
      </c>
      <c r="BG200">
        <v>1</v>
      </c>
      <c r="BH200">
        <v>1</v>
      </c>
      <c r="BI200">
        <v>1</v>
      </c>
      <c r="BJ200">
        <v>1</v>
      </c>
      <c r="BK200">
        <v>1</v>
      </c>
      <c r="BL200">
        <v>1</v>
      </c>
      <c r="BM200">
        <v>1</v>
      </c>
      <c r="BN200">
        <v>1</v>
      </c>
      <c r="BO200">
        <v>1</v>
      </c>
      <c r="BP200">
        <v>1</v>
      </c>
      <c r="BQ200">
        <v>1</v>
      </c>
      <c r="BR200">
        <v>1</v>
      </c>
      <c r="BS200">
        <v>1</v>
      </c>
      <c r="BT200">
        <v>1</v>
      </c>
      <c r="BU200">
        <v>1</v>
      </c>
      <c r="BV200">
        <v>1</v>
      </c>
      <c r="BW200">
        <v>1</v>
      </c>
      <c r="BX200">
        <v>1</v>
      </c>
      <c r="BY200">
        <v>1</v>
      </c>
      <c r="BZ200">
        <v>1</v>
      </c>
      <c r="CA200">
        <v>1</v>
      </c>
      <c r="CB200">
        <v>1</v>
      </c>
      <c r="CC200">
        <v>1</v>
      </c>
      <c r="CD200">
        <v>1</v>
      </c>
      <c r="CE200">
        <v>1</v>
      </c>
      <c r="CF200">
        <v>1</v>
      </c>
      <c r="CG200">
        <v>1</v>
      </c>
      <c r="CH200">
        <v>1</v>
      </c>
      <c r="CI200">
        <v>1</v>
      </c>
      <c r="CJ200">
        <v>1</v>
      </c>
      <c r="CK200">
        <v>1</v>
      </c>
      <c r="CL200">
        <v>1</v>
      </c>
      <c r="CM200">
        <v>1</v>
      </c>
      <c r="CN200">
        <v>1</v>
      </c>
      <c r="CO200">
        <v>1</v>
      </c>
      <c r="CP200">
        <v>1</v>
      </c>
      <c r="CQ200">
        <v>1</v>
      </c>
      <c r="CR200">
        <v>1</v>
      </c>
      <c r="CS200">
        <v>1</v>
      </c>
      <c r="CT200">
        <v>1</v>
      </c>
      <c r="CU200">
        <v>1</v>
      </c>
      <c r="CV200">
        <v>1</v>
      </c>
      <c r="CW200">
        <v>1</v>
      </c>
      <c r="CX200">
        <v>1</v>
      </c>
      <c r="CY200">
        <v>1</v>
      </c>
      <c r="CZ200">
        <v>1</v>
      </c>
      <c r="DA200">
        <v>1</v>
      </c>
      <c r="DB200">
        <v>1</v>
      </c>
      <c r="DC200">
        <v>1</v>
      </c>
      <c r="DD200">
        <v>1</v>
      </c>
      <c r="DE200">
        <v>1</v>
      </c>
      <c r="DF200">
        <v>1</v>
      </c>
      <c r="DG200">
        <v>1</v>
      </c>
      <c r="DH200">
        <v>1</v>
      </c>
      <c r="DI200">
        <v>1</v>
      </c>
      <c r="DJ200">
        <v>1</v>
      </c>
      <c r="DK200">
        <v>1</v>
      </c>
      <c r="DL200">
        <v>1</v>
      </c>
      <c r="DM200">
        <v>1</v>
      </c>
      <c r="DN200">
        <v>1</v>
      </c>
      <c r="DO200">
        <v>1</v>
      </c>
      <c r="DP200">
        <v>1</v>
      </c>
      <c r="DQ200">
        <v>1</v>
      </c>
      <c r="DR200">
        <v>1</v>
      </c>
      <c r="DS200">
        <v>1</v>
      </c>
      <c r="DT200">
        <v>1</v>
      </c>
      <c r="DU200">
        <v>1</v>
      </c>
      <c r="DV200">
        <v>1</v>
      </c>
      <c r="DW200">
        <v>1</v>
      </c>
      <c r="DX200">
        <v>1</v>
      </c>
      <c r="DY200">
        <v>1</v>
      </c>
      <c r="DZ200">
        <v>1</v>
      </c>
      <c r="EA200">
        <v>1</v>
      </c>
      <c r="EB200">
        <v>1</v>
      </c>
      <c r="EC200">
        <v>1</v>
      </c>
      <c r="ED200">
        <v>1</v>
      </c>
      <c r="EE200">
        <v>1</v>
      </c>
      <c r="EF200">
        <v>1</v>
      </c>
      <c r="EG200">
        <v>1</v>
      </c>
      <c r="EH200">
        <v>1</v>
      </c>
      <c r="EI200">
        <v>1</v>
      </c>
      <c r="EJ200">
        <v>1</v>
      </c>
      <c r="EK200">
        <v>1</v>
      </c>
      <c r="EL200">
        <v>1</v>
      </c>
      <c r="EM200">
        <v>1</v>
      </c>
      <c r="EN200">
        <v>1</v>
      </c>
      <c r="EO200">
        <v>1</v>
      </c>
      <c r="EP200">
        <v>1</v>
      </c>
      <c r="EQ200">
        <v>1</v>
      </c>
      <c r="ER200">
        <v>1</v>
      </c>
      <c r="ES200">
        <v>1</v>
      </c>
      <c r="ET200">
        <v>1</v>
      </c>
      <c r="EU200">
        <v>1</v>
      </c>
      <c r="EV200">
        <v>1</v>
      </c>
      <c r="EW200">
        <v>1</v>
      </c>
      <c r="EX200">
        <v>1</v>
      </c>
      <c r="EY200">
        <v>1</v>
      </c>
      <c r="EZ200">
        <v>1</v>
      </c>
      <c r="FA200">
        <v>1</v>
      </c>
      <c r="FB200">
        <v>1</v>
      </c>
      <c r="FC200">
        <v>1</v>
      </c>
      <c r="FD200">
        <v>1</v>
      </c>
      <c r="FE200">
        <v>1</v>
      </c>
      <c r="FF200">
        <v>1</v>
      </c>
      <c r="FG200">
        <v>1</v>
      </c>
      <c r="FH200">
        <v>1</v>
      </c>
      <c r="FI200">
        <v>1</v>
      </c>
      <c r="FJ200">
        <v>1</v>
      </c>
      <c r="FK200">
        <v>1</v>
      </c>
      <c r="FL200">
        <v>1</v>
      </c>
      <c r="FM200">
        <v>1</v>
      </c>
      <c r="FN200">
        <v>1</v>
      </c>
      <c r="FO200">
        <v>1</v>
      </c>
      <c r="FP200">
        <v>1</v>
      </c>
      <c r="FQ200">
        <v>1</v>
      </c>
      <c r="FR200">
        <v>1</v>
      </c>
      <c r="FS200">
        <v>1</v>
      </c>
      <c r="FT200">
        <v>1</v>
      </c>
      <c r="FU200">
        <v>1</v>
      </c>
      <c r="FV200">
        <v>1</v>
      </c>
      <c r="FW200">
        <v>1</v>
      </c>
      <c r="FX200">
        <v>1</v>
      </c>
      <c r="FY200">
        <v>1</v>
      </c>
      <c r="FZ200">
        <v>1</v>
      </c>
      <c r="GA200">
        <v>1</v>
      </c>
      <c r="GB200">
        <v>1</v>
      </c>
      <c r="GC200">
        <v>1</v>
      </c>
      <c r="GD200">
        <v>1</v>
      </c>
      <c r="GE200">
        <v>1</v>
      </c>
      <c r="GF200">
        <v>1</v>
      </c>
      <c r="GG200">
        <v>1</v>
      </c>
      <c r="GH200">
        <v>1</v>
      </c>
      <c r="GI200">
        <v>1</v>
      </c>
      <c r="GJ200">
        <v>1</v>
      </c>
      <c r="GK200">
        <v>1</v>
      </c>
      <c r="GL200">
        <v>1</v>
      </c>
      <c r="GM200">
        <v>1</v>
      </c>
      <c r="GN200">
        <v>1</v>
      </c>
      <c r="GO200">
        <v>1</v>
      </c>
      <c r="GP200">
        <v>1</v>
      </c>
      <c r="GQ200">
        <v>1</v>
      </c>
      <c r="GR200">
        <v>1</v>
      </c>
      <c r="GS200">
        <v>1</v>
      </c>
      <c r="GT200">
        <v>1</v>
      </c>
      <c r="GU200">
        <v>1</v>
      </c>
      <c r="GV200">
        <v>1</v>
      </c>
      <c r="GW200">
        <v>1</v>
      </c>
      <c r="GX200">
        <v>1</v>
      </c>
      <c r="GY200">
        <v>1</v>
      </c>
      <c r="GZ200">
        <v>1</v>
      </c>
      <c r="HA200">
        <v>1</v>
      </c>
      <c r="HB200">
        <v>1</v>
      </c>
      <c r="HC200">
        <v>1</v>
      </c>
      <c r="HD200">
        <v>1</v>
      </c>
      <c r="HE200">
        <v>1</v>
      </c>
      <c r="HF200">
        <v>1</v>
      </c>
      <c r="HG200">
        <v>1</v>
      </c>
      <c r="HH200">
        <v>1</v>
      </c>
      <c r="HI200">
        <v>1</v>
      </c>
    </row>
  </sheetData>
  <sheetProtection algorithmName="SHA-512" hashValue="9yAYLWausM/my05uiTG24GbKjX1niwafoOSAyNbKX7SIYyAcYXTXavR0xHxk6OIs/qmjf7ltJuzaxrhHeNkJWg==" saltValue="uiXEAu2APJCexkNA6ntBJw==" spinCount="100000" sheet="1" objects="1" scenarios="1" selectLockedCells="1"/>
  <mergeCells count="74">
    <mergeCell ref="AU26:AW26"/>
    <mergeCell ref="X31:Y31"/>
    <mergeCell ref="AN30:AO30"/>
    <mergeCell ref="AN45:AN48"/>
    <mergeCell ref="AO45:AO48"/>
    <mergeCell ref="AP45:AP48"/>
    <mergeCell ref="X32:Y32"/>
    <mergeCell ref="AC28:AC29"/>
    <mergeCell ref="AJ28:AJ29"/>
    <mergeCell ref="AQ28:AQ29"/>
    <mergeCell ref="X26:AF26"/>
    <mergeCell ref="AG26:AM26"/>
    <mergeCell ref="AN26:AT26"/>
    <mergeCell ref="AG45:AG48"/>
    <mergeCell ref="AH45:AH48"/>
    <mergeCell ref="AG16:AI16"/>
    <mergeCell ref="B17:B18"/>
    <mergeCell ref="Z45:Z48"/>
    <mergeCell ref="AA45:AA48"/>
    <mergeCell ref="C37:E37"/>
    <mergeCell ref="AG30:AH30"/>
    <mergeCell ref="C36:E36"/>
    <mergeCell ref="C34:E34"/>
    <mergeCell ref="C35:E35"/>
    <mergeCell ref="C32:E32"/>
    <mergeCell ref="C30:E30"/>
    <mergeCell ref="Z30:AA30"/>
    <mergeCell ref="C33:E33"/>
    <mergeCell ref="C42:E42"/>
    <mergeCell ref="AI45:AI48"/>
    <mergeCell ref="AB45:AB48"/>
    <mergeCell ref="U14:X14"/>
    <mergeCell ref="C40:E40"/>
    <mergeCell ref="C49:E49"/>
    <mergeCell ref="C55:E55"/>
    <mergeCell ref="C44:E44"/>
    <mergeCell ref="C47:E47"/>
    <mergeCell ref="C17:F17"/>
    <mergeCell ref="C19:D19"/>
    <mergeCell ref="D20:F20"/>
    <mergeCell ref="C21:E21"/>
    <mergeCell ref="C38:E38"/>
    <mergeCell ref="C43:E43"/>
    <mergeCell ref="X16:Z16"/>
    <mergeCell ref="C39:E39"/>
    <mergeCell ref="C41:E41"/>
    <mergeCell ref="C53:E53"/>
    <mergeCell ref="C103:F103"/>
    <mergeCell ref="X45:Y48"/>
    <mergeCell ref="C58:E58"/>
    <mergeCell ref="C62:F62"/>
    <mergeCell ref="C56:E56"/>
    <mergeCell ref="C57:E57"/>
    <mergeCell ref="C48:E48"/>
    <mergeCell ref="C45:E45"/>
    <mergeCell ref="C101:E101"/>
    <mergeCell ref="C102:F102"/>
    <mergeCell ref="D67:F67"/>
    <mergeCell ref="B66:C66"/>
    <mergeCell ref="U51:U52"/>
    <mergeCell ref="C54:E54"/>
    <mergeCell ref="C61:F61"/>
    <mergeCell ref="C59:E59"/>
    <mergeCell ref="C46:E46"/>
    <mergeCell ref="O12:Q12"/>
    <mergeCell ref="O14:Q14"/>
    <mergeCell ref="C26:E26"/>
    <mergeCell ref="C28:E28"/>
    <mergeCell ref="C29:E29"/>
    <mergeCell ref="C25:E25"/>
    <mergeCell ref="C24:E24"/>
    <mergeCell ref="E12:G12"/>
    <mergeCell ref="C16:E16"/>
    <mergeCell ref="D22:F22"/>
  </mergeCells>
  <printOptions horizontalCentered="1"/>
  <pageMargins left="0.23622047244094491" right="0.23622047244094491" top="0.55118110236220474" bottom="0.35433070866141736" header="0.31496062992125984" footer="0.31496062992125984"/>
  <pageSetup paperSize="9" scale="80" orientation="landscape" verticalDpi="4" r:id="rId1"/>
  <rowBreaks count="1" manualBreakCount="1">
    <brk id="65" min="1" max="18" man="1"/>
  </rowBreaks>
  <colBreaks count="1" manualBreakCount="1">
    <brk id="19" min="11" max="93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1"/>
  </sheetPr>
  <dimension ref="A2:V323"/>
  <sheetViews>
    <sheetView showGridLines="0" showZeros="0" zoomScaleNormal="100" workbookViewId="0">
      <selection activeCell="L18" sqref="L18"/>
    </sheetView>
  </sheetViews>
  <sheetFormatPr defaultRowHeight="13.2" x14ac:dyDescent="0.25"/>
  <cols>
    <col min="1" max="1" width="10.5546875" customWidth="1"/>
    <col min="2" max="2" width="3" customWidth="1"/>
    <col min="3" max="3" width="23" customWidth="1"/>
    <col min="4" max="13" width="5.88671875" customWidth="1"/>
    <col min="14" max="14" width="6.88671875" customWidth="1"/>
    <col min="15" max="18" width="5.88671875" customWidth="1"/>
  </cols>
  <sheetData>
    <row r="2" spans="2:18" ht="13.8" x14ac:dyDescent="0.25">
      <c r="B2" s="1619" t="s">
        <v>620</v>
      </c>
      <c r="C2" s="740"/>
      <c r="D2" s="665"/>
      <c r="E2" s="665"/>
      <c r="F2" s="665"/>
      <c r="G2" s="665"/>
      <c r="H2" s="2"/>
      <c r="I2" s="2"/>
      <c r="J2" s="2"/>
      <c r="K2" s="346"/>
      <c r="L2" s="2069" t="s">
        <v>8</v>
      </c>
      <c r="M2" s="2069"/>
      <c r="N2" s="113"/>
      <c r="O2" s="113"/>
      <c r="P2" s="113"/>
      <c r="Q2" s="113"/>
      <c r="R2" s="113"/>
    </row>
    <row r="3" spans="2:18" ht="12" customHeight="1" x14ac:dyDescent="0.25">
      <c r="B3" s="665"/>
      <c r="C3" s="665"/>
      <c r="D3" s="665"/>
      <c r="E3" s="665"/>
      <c r="F3" s="665"/>
      <c r="G3" s="665"/>
      <c r="H3" s="113"/>
      <c r="I3" s="113"/>
      <c r="J3" s="220"/>
      <c r="K3" s="346"/>
      <c r="L3" s="2362">
        <f>'1. T1 INVESTOINTISUUN.'!F4</f>
        <v>0</v>
      </c>
      <c r="M3" s="2362"/>
      <c r="N3" s="113"/>
      <c r="O3" s="113"/>
      <c r="P3" s="113"/>
      <c r="Q3" s="113"/>
      <c r="R3" s="113"/>
    </row>
    <row r="4" spans="2:18" ht="4.95" customHeight="1" x14ac:dyDescent="0.25">
      <c r="B4" s="665"/>
      <c r="C4" s="665"/>
      <c r="D4" s="665"/>
      <c r="E4" s="665"/>
      <c r="F4" s="665"/>
      <c r="G4" s="665"/>
      <c r="H4" s="113"/>
      <c r="I4" s="113"/>
      <c r="J4" s="220"/>
      <c r="K4" s="346"/>
      <c r="L4" s="1620"/>
      <c r="M4" s="1620"/>
      <c r="N4" s="113"/>
      <c r="O4" s="113"/>
      <c r="P4" s="113"/>
      <c r="Q4" s="113"/>
      <c r="R4" s="113"/>
    </row>
    <row r="5" spans="2:18" ht="6.6" customHeight="1" x14ac:dyDescent="0.25">
      <c r="B5" s="1826"/>
      <c r="C5" s="346"/>
      <c r="D5" s="346"/>
      <c r="E5" s="346"/>
      <c r="F5" s="346"/>
      <c r="G5" s="346"/>
      <c r="H5" s="2363"/>
      <c r="I5" s="2364"/>
      <c r="J5" s="1826"/>
      <c r="K5" s="428"/>
      <c r="L5" s="113"/>
      <c r="M5" s="113"/>
      <c r="N5" s="113"/>
      <c r="O5" s="113"/>
      <c r="P5" s="113"/>
      <c r="Q5" s="113"/>
      <c r="R5" s="113"/>
    </row>
    <row r="6" spans="2:18" ht="13.95" customHeight="1" x14ac:dyDescent="0.25">
      <c r="B6" s="1825" t="s">
        <v>10</v>
      </c>
      <c r="C6" s="1614"/>
      <c r="D6" s="1614"/>
      <c r="E6" s="1614"/>
      <c r="F6" s="1614"/>
      <c r="G6" s="1614"/>
      <c r="H6" s="1614"/>
      <c r="I6" s="1614"/>
      <c r="J6" s="1614"/>
      <c r="K6" s="1614"/>
      <c r="L6" s="2358" t="s">
        <v>11</v>
      </c>
      <c r="M6" s="2358"/>
      <c r="N6" s="2358"/>
      <c r="O6" s="2358"/>
      <c r="P6" s="2358"/>
      <c r="Q6" s="2358"/>
      <c r="R6" s="2358"/>
    </row>
    <row r="7" spans="2:18" ht="13.95" customHeight="1" x14ac:dyDescent="0.25">
      <c r="B7" s="2072">
        <f>'1. T1 INVESTOINTISUUN.'!B7</f>
        <v>0</v>
      </c>
      <c r="C7" s="2072"/>
      <c r="D7" s="2072"/>
      <c r="E7" s="2072"/>
      <c r="F7" s="2072"/>
      <c r="G7" s="2072"/>
      <c r="H7" s="2072"/>
      <c r="I7" s="1822"/>
      <c r="J7" s="1822"/>
      <c r="K7" s="1822"/>
      <c r="L7" s="2360">
        <f>'1. T1 INVESTOINTISUUN.'!F7</f>
        <v>0</v>
      </c>
      <c r="M7" s="2360"/>
      <c r="N7" s="2360"/>
      <c r="O7" s="2360"/>
      <c r="P7" s="2360"/>
      <c r="Q7" s="2360"/>
      <c r="R7" s="2360"/>
    </row>
    <row r="8" spans="2:18" ht="13.95" customHeight="1" x14ac:dyDescent="0.25">
      <c r="B8" s="1621" t="s">
        <v>13</v>
      </c>
      <c r="C8" s="1617"/>
      <c r="D8" s="1617"/>
      <c r="E8" s="1617"/>
      <c r="F8" s="1617"/>
      <c r="G8" s="1617"/>
      <c r="H8" s="1617"/>
      <c r="I8" s="1615"/>
      <c r="J8" s="1615"/>
      <c r="K8" s="1615"/>
      <c r="L8" s="2358" t="s">
        <v>14</v>
      </c>
      <c r="M8" s="2358"/>
      <c r="N8" s="2358"/>
      <c r="O8" s="2358"/>
      <c r="P8" s="2358"/>
      <c r="Q8" s="2358"/>
      <c r="R8" s="2358"/>
    </row>
    <row r="9" spans="2:18" ht="13.95" customHeight="1" x14ac:dyDescent="0.25">
      <c r="B9" s="2219">
        <f>'1. T1 INVESTOINTISUUN.'!B9</f>
        <v>0</v>
      </c>
      <c r="C9" s="2219"/>
      <c r="D9" s="2219"/>
      <c r="E9" s="2219"/>
      <c r="F9" s="2219"/>
      <c r="G9" s="2219"/>
      <c r="H9" s="2219"/>
      <c r="I9" s="1822"/>
      <c r="J9" s="1822"/>
      <c r="K9" s="1822"/>
      <c r="L9" s="2359">
        <f>'1. T1 INVESTOINTISUUN.'!F9</f>
        <v>0</v>
      </c>
      <c r="M9" s="2360"/>
      <c r="N9" s="2360"/>
      <c r="O9" s="2360"/>
      <c r="P9" s="2360"/>
      <c r="Q9" s="2360"/>
      <c r="R9" s="2360"/>
    </row>
    <row r="10" spans="2:18" ht="13.95" customHeight="1" x14ac:dyDescent="0.25">
      <c r="B10" s="1825" t="s">
        <v>621</v>
      </c>
      <c r="C10" s="1618"/>
      <c r="D10" s="1618"/>
      <c r="E10" s="1618"/>
      <c r="F10" s="1618"/>
      <c r="G10" s="1618"/>
      <c r="H10" s="1618"/>
      <c r="I10" s="1616"/>
      <c r="J10" s="1616"/>
      <c r="K10" s="1616"/>
      <c r="L10" s="2358" t="s">
        <v>622</v>
      </c>
      <c r="M10" s="2358"/>
      <c r="N10" s="2358"/>
      <c r="O10" s="2358"/>
      <c r="P10" s="2358"/>
      <c r="Q10" s="2358"/>
      <c r="R10" s="2358"/>
    </row>
    <row r="11" spans="2:18" ht="13.2" customHeight="1" x14ac:dyDescent="0.25">
      <c r="B11" s="2504">
        <f>'1. T1 INVESTOINTISUUN.'!B11</f>
        <v>0</v>
      </c>
      <c r="C11" s="2504"/>
      <c r="D11" s="2504"/>
      <c r="E11" s="2504"/>
      <c r="F11" s="2504"/>
      <c r="G11" s="2504"/>
      <c r="H11" s="2504"/>
      <c r="I11" s="434"/>
      <c r="J11" s="434"/>
      <c r="K11" s="434"/>
      <c r="L11" s="2361">
        <f>'1. T1 INVESTOINTISUUN.'!F11</f>
        <v>0</v>
      </c>
      <c r="M11" s="2361"/>
      <c r="N11" s="2361"/>
      <c r="O11" s="2361"/>
      <c r="P11" s="2361"/>
      <c r="Q11" s="2361"/>
      <c r="R11" s="2361"/>
    </row>
    <row r="12" spans="2:18" ht="13.2" customHeight="1" x14ac:dyDescent="0.25">
      <c r="B12" s="1460">
        <f>'1. T1 INVESTOINTISUUN.'!B12</f>
        <v>0</v>
      </c>
      <c r="C12" s="1460"/>
      <c r="D12" s="1460"/>
      <c r="E12" s="1460"/>
      <c r="F12" s="1460"/>
      <c r="G12" s="1460"/>
      <c r="H12" s="1460"/>
      <c r="I12" s="434"/>
      <c r="J12" s="434"/>
      <c r="K12" s="434"/>
      <c r="L12" s="2358" t="s">
        <v>17</v>
      </c>
      <c r="M12" s="2358"/>
      <c r="N12" s="2358"/>
      <c r="O12" s="2358"/>
      <c r="P12" s="2358"/>
      <c r="Q12" s="2358"/>
      <c r="R12" s="2358"/>
    </row>
    <row r="13" spans="2:18" ht="13.2" customHeight="1" x14ac:dyDescent="0.25">
      <c r="B13" s="2505">
        <f>'1. T1 INVESTOINTISUUN.'!B13</f>
        <v>0</v>
      </c>
      <c r="C13" s="2505"/>
      <c r="D13" s="2505"/>
      <c r="E13" s="2505"/>
      <c r="F13" s="2505"/>
      <c r="G13" s="2505"/>
      <c r="H13" s="2505"/>
      <c r="I13" s="434"/>
      <c r="J13" s="434"/>
      <c r="K13" s="434"/>
      <c r="L13" s="2361">
        <f>'1. T1 INVESTOINTISUUN.'!F13</f>
        <v>0</v>
      </c>
      <c r="M13" s="2361"/>
      <c r="N13" s="2361"/>
      <c r="O13" s="2361"/>
      <c r="P13" s="2361"/>
      <c r="Q13" s="2361"/>
      <c r="R13" s="2361"/>
    </row>
    <row r="14" spans="2:18" ht="6" customHeight="1" x14ac:dyDescent="0.25">
      <c r="B14" s="1826"/>
      <c r="C14" s="346"/>
      <c r="D14" s="346"/>
      <c r="E14" s="346"/>
      <c r="F14" s="346"/>
      <c r="G14" s="346"/>
      <c r="H14" s="346"/>
      <c r="I14" s="346"/>
      <c r="J14" s="346"/>
      <c r="K14" s="346"/>
      <c r="L14" s="113"/>
      <c r="M14" s="113"/>
      <c r="N14" s="113"/>
      <c r="O14" s="113"/>
      <c r="P14" s="113"/>
      <c r="Q14" s="113"/>
      <c r="R14" s="113"/>
    </row>
    <row r="15" spans="2:18" ht="11.25" customHeight="1" x14ac:dyDescent="0.25">
      <c r="B15" s="2375" t="s">
        <v>623</v>
      </c>
      <c r="C15" s="2376"/>
      <c r="D15" s="2376"/>
      <c r="E15" s="2376"/>
      <c r="F15" s="2377"/>
      <c r="G15" s="1458" t="s">
        <v>624</v>
      </c>
      <c r="H15" s="1458" t="s">
        <v>625</v>
      </c>
      <c r="I15" s="1458" t="s">
        <v>626</v>
      </c>
      <c r="J15" s="1458" t="s">
        <v>627</v>
      </c>
      <c r="K15" s="2369" t="s">
        <v>628</v>
      </c>
      <c r="L15" s="2371" t="s">
        <v>629</v>
      </c>
      <c r="M15" s="2371"/>
      <c r="N15" s="2371"/>
      <c r="O15" s="2371"/>
      <c r="P15" s="2371"/>
      <c r="Q15" s="2371"/>
      <c r="R15" s="2372"/>
    </row>
    <row r="16" spans="2:18" ht="11.25" customHeight="1" x14ac:dyDescent="0.25">
      <c r="B16" s="2378"/>
      <c r="C16" s="2379"/>
      <c r="D16" s="2379"/>
      <c r="E16" s="2379"/>
      <c r="F16" s="2380"/>
      <c r="G16" s="1828">
        <f>'1. T1 INVESTOINTISUUN.'!E16</f>
        <v>2024</v>
      </c>
      <c r="H16" s="1828">
        <f>'1. T1 INVESTOINTISUUN.'!F16</f>
        <v>2025</v>
      </c>
      <c r="I16" s="1828">
        <f>'1. T1 INVESTOINTISUUN.'!G16</f>
        <v>2026</v>
      </c>
      <c r="J16" s="1828">
        <f>'1. T1 INVESTOINTISUUN.'!H16</f>
        <v>2027</v>
      </c>
      <c r="K16" s="2370"/>
      <c r="L16" s="2373"/>
      <c r="M16" s="2373"/>
      <c r="N16" s="2373"/>
      <c r="O16" s="2373"/>
      <c r="P16" s="2373"/>
      <c r="Q16" s="2373"/>
      <c r="R16" s="2374"/>
    </row>
    <row r="17" spans="2:22" ht="12" customHeight="1" x14ac:dyDescent="0.25">
      <c r="B17" s="726" t="s">
        <v>24</v>
      </c>
      <c r="C17" s="2140" t="s">
        <v>630</v>
      </c>
      <c r="D17" s="2140"/>
      <c r="E17" s="2140"/>
      <c r="F17" s="2381"/>
      <c r="G17" s="729">
        <f>'1. T1 INVESTOINTISUUN.'!E17/1000</f>
        <v>0</v>
      </c>
      <c r="H17" s="729">
        <f>'1. T1 INVESTOINTISUUN.'!F17/1000</f>
        <v>0</v>
      </c>
      <c r="I17" s="729">
        <f>'1. T1 INVESTOINTISUUN.'!G17/1000</f>
        <v>0</v>
      </c>
      <c r="J17" s="729">
        <f>'1. T1 INVESTOINTISUUN.'!H17/1000</f>
        <v>0</v>
      </c>
      <c r="K17" s="729">
        <f>'1. T1 INVESTOINTISUUN.'!I17/1000</f>
        <v>0</v>
      </c>
      <c r="L17" s="593"/>
      <c r="M17" s="1459"/>
      <c r="N17" s="1459"/>
      <c r="O17" s="1459"/>
      <c r="P17" s="1459"/>
      <c r="Q17" s="1459"/>
      <c r="R17" s="594"/>
    </row>
    <row r="18" spans="2:22" ht="12" customHeight="1" x14ac:dyDescent="0.25">
      <c r="B18" s="726"/>
      <c r="C18" s="2382" t="s">
        <v>27</v>
      </c>
      <c r="D18" s="2382"/>
      <c r="E18" s="2382"/>
      <c r="F18" s="2383"/>
      <c r="G18" s="700">
        <f>'1. T1 INVESTOINTISUUN.'!E19</f>
        <v>0</v>
      </c>
      <c r="H18" s="700">
        <f>'1. T1 INVESTOINTISUUN.'!F19</f>
        <v>0</v>
      </c>
      <c r="I18" s="700">
        <f>'1. T1 INVESTOINTISUUN.'!G19</f>
        <v>0</v>
      </c>
      <c r="J18" s="700">
        <f>'1. T1 INVESTOINTISUUN.'!H19</f>
        <v>0</v>
      </c>
      <c r="K18" s="749"/>
      <c r="L18" s="593"/>
      <c r="M18" s="1459"/>
      <c r="N18" s="1459"/>
      <c r="O18" s="1459"/>
      <c r="P18" s="1459"/>
      <c r="Q18" s="1459"/>
      <c r="R18" s="594"/>
    </row>
    <row r="19" spans="2:22" ht="12" customHeight="1" x14ac:dyDescent="0.25">
      <c r="B19" s="726" t="s">
        <v>28</v>
      </c>
      <c r="C19" s="2333" t="s">
        <v>631</v>
      </c>
      <c r="D19" s="2333"/>
      <c r="E19" s="2333"/>
      <c r="F19" s="2334"/>
      <c r="G19" s="891">
        <f>'1. T1 INVESTOINTISUUN.'!E20/1000</f>
        <v>0</v>
      </c>
      <c r="H19" s="891">
        <f>'1. T1 INVESTOINTISUUN.'!F20/1000</f>
        <v>0</v>
      </c>
      <c r="I19" s="891">
        <f>'1. T1 INVESTOINTISUUN.'!G20/1000</f>
        <v>0</v>
      </c>
      <c r="J19" s="891">
        <f>'1. T1 INVESTOINTISUUN.'!H20/1000</f>
        <v>0</v>
      </c>
      <c r="K19" s="891">
        <f>'1. T1 INVESTOINTISUUN.'!I20/1000</f>
        <v>0</v>
      </c>
      <c r="L19" s="593">
        <f>'1. T1 INVESTOINTISUUN.'!K20</f>
        <v>0</v>
      </c>
      <c r="M19" s="1459"/>
      <c r="N19" s="1459"/>
      <c r="O19" s="1459"/>
      <c r="P19" s="1459"/>
      <c r="Q19" s="1459"/>
      <c r="R19" s="594"/>
    </row>
    <row r="20" spans="2:22" ht="12" customHeight="1" x14ac:dyDescent="0.25">
      <c r="B20" s="726"/>
      <c r="C20" s="2335" t="s">
        <v>27</v>
      </c>
      <c r="D20" s="2335"/>
      <c r="E20" s="2335"/>
      <c r="F20" s="2336"/>
      <c r="G20" s="700">
        <f>'1. T1 INVESTOINTISUUN.'!E23</f>
        <v>0</v>
      </c>
      <c r="H20" s="700">
        <f>'1. T1 INVESTOINTISUUN.'!F23</f>
        <v>0</v>
      </c>
      <c r="I20" s="700">
        <f>'1. T1 INVESTOINTISUUN.'!G23</f>
        <v>0</v>
      </c>
      <c r="J20" s="700">
        <f>'1. T1 INVESTOINTISUUN.'!H23</f>
        <v>0</v>
      </c>
      <c r="K20" s="749"/>
      <c r="L20" s="593"/>
      <c r="M20" s="1459"/>
      <c r="N20" s="1459"/>
      <c r="O20" s="1459"/>
      <c r="P20" s="1459"/>
      <c r="Q20" s="1459"/>
      <c r="R20" s="594"/>
    </row>
    <row r="21" spans="2:22" ht="12" customHeight="1" x14ac:dyDescent="0.25">
      <c r="B21" s="726" t="s">
        <v>32</v>
      </c>
      <c r="C21" s="2333" t="s">
        <v>632</v>
      </c>
      <c r="D21" s="2333"/>
      <c r="E21" s="2333"/>
      <c r="F21" s="2334"/>
      <c r="G21" s="891">
        <f>'1. T1 INVESTOINTISUUN.'!E24/1000</f>
        <v>0</v>
      </c>
      <c r="H21" s="891">
        <f>'1. T1 INVESTOINTISUUN.'!F24/1000</f>
        <v>0</v>
      </c>
      <c r="I21" s="891">
        <f>'1. T1 INVESTOINTISUUN.'!G24/1000</f>
        <v>0</v>
      </c>
      <c r="J21" s="891">
        <f>'1. T1 INVESTOINTISUUN.'!H24/1000</f>
        <v>0</v>
      </c>
      <c r="K21" s="891">
        <f>'1. T1 INVESTOINTISUUN.'!I24/1000</f>
        <v>0</v>
      </c>
      <c r="L21" s="593">
        <f>'1. T1 INVESTOINTISUUN.'!K24</f>
        <v>0</v>
      </c>
      <c r="M21" s="1459"/>
      <c r="N21" s="1459"/>
      <c r="O21" s="1459"/>
      <c r="P21" s="1459"/>
      <c r="Q21" s="1459"/>
      <c r="R21" s="594"/>
    </row>
    <row r="22" spans="2:22" ht="12" customHeight="1" x14ac:dyDescent="0.25">
      <c r="B22" s="726"/>
      <c r="C22" s="2335" t="s">
        <v>27</v>
      </c>
      <c r="D22" s="2335"/>
      <c r="E22" s="2335"/>
      <c r="F22" s="2336"/>
      <c r="G22" s="700">
        <f>'1. T1 INVESTOINTISUUN.'!E26</f>
        <v>0</v>
      </c>
      <c r="H22" s="700">
        <f>'1. T1 INVESTOINTISUUN.'!F26</f>
        <v>0</v>
      </c>
      <c r="I22" s="700">
        <f>'1. T1 INVESTOINTISUUN.'!G26</f>
        <v>0</v>
      </c>
      <c r="J22" s="700">
        <f>'1. T1 INVESTOINTISUUN.'!H26</f>
        <v>0</v>
      </c>
      <c r="K22" s="749"/>
      <c r="L22" s="593"/>
      <c r="M22" s="1459"/>
      <c r="N22" s="1459"/>
      <c r="O22" s="1459"/>
      <c r="P22" s="1459"/>
      <c r="Q22" s="1459"/>
      <c r="R22" s="594"/>
    </row>
    <row r="23" spans="2:22" ht="12" customHeight="1" x14ac:dyDescent="0.25">
      <c r="B23" s="726" t="s">
        <v>34</v>
      </c>
      <c r="C23" s="2333" t="s">
        <v>633</v>
      </c>
      <c r="D23" s="2333"/>
      <c r="E23" s="2333"/>
      <c r="F23" s="2334"/>
      <c r="G23" s="891">
        <f>'1. T1 INVESTOINTISUUN.'!E27/1000</f>
        <v>0</v>
      </c>
      <c r="H23" s="891">
        <f>'1. T1 INVESTOINTISUUN.'!F27/1000</f>
        <v>0</v>
      </c>
      <c r="I23" s="891">
        <f>'1. T1 INVESTOINTISUUN.'!G27/1000</f>
        <v>0</v>
      </c>
      <c r="J23" s="891">
        <f>'1. T1 INVESTOINTISUUN.'!H27/1000</f>
        <v>0</v>
      </c>
      <c r="K23" s="891">
        <f>'1. T1 INVESTOINTISUUN.'!I27/1000</f>
        <v>0</v>
      </c>
      <c r="L23" s="593">
        <f>'1. T1 INVESTOINTISUUN.'!K27</f>
        <v>0</v>
      </c>
      <c r="M23" s="1459"/>
      <c r="N23" s="1459"/>
      <c r="O23" s="1459"/>
      <c r="P23" s="1459"/>
      <c r="Q23" s="1459"/>
      <c r="R23" s="594"/>
    </row>
    <row r="24" spans="2:22" ht="12" customHeight="1" x14ac:dyDescent="0.25">
      <c r="B24" s="726"/>
      <c r="C24" s="2335" t="s">
        <v>27</v>
      </c>
      <c r="D24" s="2335"/>
      <c r="E24" s="2335"/>
      <c r="F24" s="2336"/>
      <c r="G24" s="700">
        <f>'1. T1 INVESTOINTISUUN.'!E29</f>
        <v>0</v>
      </c>
      <c r="H24" s="700">
        <f>'1. T1 INVESTOINTISUUN.'!F29</f>
        <v>0</v>
      </c>
      <c r="I24" s="700">
        <f>'1. T1 INVESTOINTISUUN.'!G29</f>
        <v>0</v>
      </c>
      <c r="J24" s="700">
        <f>'1. T1 INVESTOINTISUUN.'!H29</f>
        <v>0</v>
      </c>
      <c r="K24" s="749"/>
      <c r="L24" s="593"/>
      <c r="M24" s="1459"/>
      <c r="N24" s="1459"/>
      <c r="O24" s="1459"/>
      <c r="P24" s="1459"/>
      <c r="Q24" s="1459"/>
      <c r="R24" s="594"/>
    </row>
    <row r="25" spans="2:22" ht="12" customHeight="1" x14ac:dyDescent="0.25">
      <c r="B25" s="726" t="s">
        <v>36</v>
      </c>
      <c r="C25" s="2333" t="s">
        <v>37</v>
      </c>
      <c r="D25" s="2333"/>
      <c r="E25" s="2333"/>
      <c r="F25" s="2334"/>
      <c r="G25" s="891">
        <f>'1. T1 INVESTOINTISUUN.'!E30/1000</f>
        <v>0</v>
      </c>
      <c r="H25" s="891">
        <f>'1. T1 INVESTOINTISUUN.'!F30/1000</f>
        <v>0</v>
      </c>
      <c r="I25" s="891">
        <f>'1. T1 INVESTOINTISUUN.'!G30/1000</f>
        <v>0</v>
      </c>
      <c r="J25" s="891">
        <f>'1. T1 INVESTOINTISUUN.'!H30/1000</f>
        <v>0</v>
      </c>
      <c r="K25" s="891">
        <f>'1. T1 INVESTOINTISUUN.'!I30/1000</f>
        <v>0</v>
      </c>
      <c r="L25" s="593">
        <f>'1. T1 INVESTOINTISUUN.'!K30</f>
        <v>0</v>
      </c>
      <c r="M25" s="1459"/>
      <c r="N25" s="1459"/>
      <c r="O25" s="1459"/>
      <c r="P25" s="1459"/>
      <c r="Q25" s="1459"/>
      <c r="R25" s="594"/>
    </row>
    <row r="26" spans="2:22" ht="12" customHeight="1" x14ac:dyDescent="0.25">
      <c r="B26" s="726"/>
      <c r="C26" s="1821" t="str">
        <f>'1. T1 INVESTOINTISUUN.'!C31</f>
        <v xml:space="preserve"> - avustus-%</v>
      </c>
      <c r="D26" s="1819"/>
      <c r="E26" s="1819"/>
      <c r="F26" s="1820"/>
      <c r="G26" s="700">
        <f>'1. T1 INVESTOINTISUUN.'!E31</f>
        <v>0</v>
      </c>
      <c r="H26" s="700">
        <f>'1. T1 INVESTOINTISUUN.'!F31</f>
        <v>0</v>
      </c>
      <c r="I26" s="700">
        <f>'1. T1 INVESTOINTISUUN.'!G31</f>
        <v>0</v>
      </c>
      <c r="J26" s="700">
        <f>'1. T1 INVESTOINTISUUN.'!H31</f>
        <v>0</v>
      </c>
      <c r="K26" s="802"/>
      <c r="L26" s="593"/>
      <c r="M26" s="1459"/>
      <c r="N26" s="1459"/>
      <c r="O26" s="1459"/>
      <c r="P26" s="1459"/>
      <c r="Q26" s="1459"/>
      <c r="R26" s="594"/>
    </row>
    <row r="27" spans="2:22" ht="12" customHeight="1" x14ac:dyDescent="0.25">
      <c r="B27" s="726" t="s">
        <v>38</v>
      </c>
      <c r="C27" s="2333" t="s">
        <v>634</v>
      </c>
      <c r="D27" s="2333"/>
      <c r="E27" s="2333"/>
      <c r="F27" s="2334"/>
      <c r="G27" s="891">
        <f>'1. T1 INVESTOINTISUUN.'!E32/1000</f>
        <v>0</v>
      </c>
      <c r="H27" s="891">
        <f>'1. T1 INVESTOINTISUUN.'!F32/1000</f>
        <v>0</v>
      </c>
      <c r="I27" s="891">
        <f>'1. T1 INVESTOINTISUUN.'!G32/1000</f>
        <v>0</v>
      </c>
      <c r="J27" s="891">
        <f>'1. T1 INVESTOINTISUUN.'!H32/1000</f>
        <v>0</v>
      </c>
      <c r="K27" s="891">
        <f>'1. T1 INVESTOINTISUUN.'!I32/1000</f>
        <v>0</v>
      </c>
      <c r="L27" s="593">
        <f>'1. T1 INVESTOINTISUUN.'!K32</f>
        <v>0</v>
      </c>
      <c r="M27" s="1459"/>
      <c r="N27" s="1459"/>
      <c r="O27" s="1459"/>
      <c r="P27" s="1459"/>
      <c r="Q27" s="1459"/>
      <c r="R27" s="594"/>
    </row>
    <row r="28" spans="2:22" ht="12" customHeight="1" x14ac:dyDescent="0.25">
      <c r="B28" s="726"/>
      <c r="C28" s="2335" t="s">
        <v>27</v>
      </c>
      <c r="D28" s="2335"/>
      <c r="E28" s="2335"/>
      <c r="F28" s="2336"/>
      <c r="G28" s="700">
        <f>'1. T1 INVESTOINTISUUN.'!E34</f>
        <v>0</v>
      </c>
      <c r="H28" s="700">
        <f>'1. T1 INVESTOINTISUUN.'!F34</f>
        <v>0</v>
      </c>
      <c r="I28" s="700">
        <f>'1. T1 INVESTOINTISUUN.'!G34</f>
        <v>0</v>
      </c>
      <c r="J28" s="700">
        <f>'1. T1 INVESTOINTISUUN.'!H34</f>
        <v>0</v>
      </c>
      <c r="K28" s="749"/>
      <c r="L28" s="593"/>
      <c r="M28" s="1459"/>
      <c r="N28" s="1459"/>
      <c r="O28" s="1459"/>
      <c r="P28" s="1459"/>
      <c r="Q28" s="1459"/>
      <c r="R28" s="594"/>
    </row>
    <row r="29" spans="2:22" ht="12" customHeight="1" x14ac:dyDescent="0.25">
      <c r="B29" s="726" t="s">
        <v>40</v>
      </c>
      <c r="C29" s="2333" t="s">
        <v>41</v>
      </c>
      <c r="D29" s="2333"/>
      <c r="E29" s="2333"/>
      <c r="F29" s="2334"/>
      <c r="G29" s="891">
        <f>'1. T1 INVESTOINTISUUN.'!E35/1000</f>
        <v>0</v>
      </c>
      <c r="H29" s="891">
        <f>'1. T1 INVESTOINTISUUN.'!F35/1000</f>
        <v>0</v>
      </c>
      <c r="I29" s="891">
        <f>'1. T1 INVESTOINTISUUN.'!G35/1000</f>
        <v>0</v>
      </c>
      <c r="J29" s="891">
        <f>'1. T1 INVESTOINTISUUN.'!H35/1000</f>
        <v>0</v>
      </c>
      <c r="K29" s="891">
        <f>'1. T1 INVESTOINTISUUN.'!I35/1000</f>
        <v>0</v>
      </c>
      <c r="L29" s="593">
        <f>'1. T1 INVESTOINTISUUN.'!K35</f>
        <v>0</v>
      </c>
      <c r="M29" s="1459"/>
      <c r="N29" s="1459"/>
      <c r="O29" s="1459"/>
      <c r="P29" s="1459"/>
      <c r="Q29" s="1459"/>
      <c r="R29" s="594"/>
    </row>
    <row r="30" spans="2:22" ht="12" customHeight="1" x14ac:dyDescent="0.25">
      <c r="B30" s="726"/>
      <c r="C30" s="2335" t="s">
        <v>27</v>
      </c>
      <c r="D30" s="2335"/>
      <c r="E30" s="2335"/>
      <c r="F30" s="2336"/>
      <c r="G30" s="700">
        <f>'1. T1 INVESTOINTISUUN.'!E37</f>
        <v>0</v>
      </c>
      <c r="H30" s="700">
        <f>'1. T1 INVESTOINTISUUN.'!F37</f>
        <v>0</v>
      </c>
      <c r="I30" s="700">
        <f>'1. T1 INVESTOINTISUUN.'!G37</f>
        <v>0</v>
      </c>
      <c r="J30" s="700">
        <f>'1. T1 INVESTOINTISUUN.'!H37</f>
        <v>0</v>
      </c>
      <c r="K30" s="749"/>
      <c r="L30" s="593"/>
      <c r="M30" s="1459"/>
      <c r="N30" s="1459"/>
      <c r="O30" s="1459"/>
      <c r="P30" s="1459"/>
      <c r="Q30" s="1459"/>
      <c r="R30" s="594"/>
    </row>
    <row r="31" spans="2:22" ht="12" customHeight="1" x14ac:dyDescent="0.25">
      <c r="B31" s="726" t="s">
        <v>42</v>
      </c>
      <c r="C31" s="2333" t="s">
        <v>43</v>
      </c>
      <c r="D31" s="2333"/>
      <c r="E31" s="2333"/>
      <c r="F31" s="2334"/>
      <c r="G31" s="891">
        <f>'1. T1 INVESTOINTISUUN.'!E38/1000</f>
        <v>0</v>
      </c>
      <c r="H31" s="891">
        <f>'1. T1 INVESTOINTISUUN.'!F38/1000</f>
        <v>0</v>
      </c>
      <c r="I31" s="891">
        <f>'1. T1 INVESTOINTISUUN.'!G38/1000</f>
        <v>0</v>
      </c>
      <c r="J31" s="891">
        <f>'1. T1 INVESTOINTISUUN.'!H38/1000</f>
        <v>0</v>
      </c>
      <c r="K31" s="891">
        <f>'1. T1 INVESTOINTISUUN.'!I38/1000</f>
        <v>0</v>
      </c>
      <c r="L31" s="593">
        <f>'1. T1 INVESTOINTISUUN.'!K38</f>
        <v>0</v>
      </c>
      <c r="M31" s="1459"/>
      <c r="N31" s="1459"/>
      <c r="O31" s="1459"/>
      <c r="P31" s="1459"/>
      <c r="Q31" s="1459"/>
      <c r="R31" s="594"/>
    </row>
    <row r="32" spans="2:22" ht="12" customHeight="1" x14ac:dyDescent="0.25">
      <c r="B32" s="726" t="s">
        <v>44</v>
      </c>
      <c r="C32" s="2333" t="s">
        <v>45</v>
      </c>
      <c r="D32" s="2333"/>
      <c r="E32" s="2333"/>
      <c r="F32" s="2334"/>
      <c r="G32" s="891">
        <f>'1. T1 INVESTOINTISUUN.'!E39/1000</f>
        <v>0</v>
      </c>
      <c r="H32" s="891">
        <f>'1. T1 INVESTOINTISUUN.'!F39/1000</f>
        <v>0</v>
      </c>
      <c r="I32" s="891">
        <f>'1. T1 INVESTOINTISUUN.'!G39/1000</f>
        <v>0</v>
      </c>
      <c r="J32" s="891">
        <f>'1. T1 INVESTOINTISUUN.'!H39/1000</f>
        <v>0</v>
      </c>
      <c r="K32" s="891">
        <f>'1. T1 INVESTOINTISUUN.'!I39/1000</f>
        <v>0</v>
      </c>
      <c r="L32" s="593">
        <f>'1. T1 INVESTOINTISUUN.'!K39</f>
        <v>0</v>
      </c>
      <c r="M32" s="1459"/>
      <c r="N32" s="1459"/>
      <c r="O32" s="1459"/>
      <c r="P32" s="1459"/>
      <c r="Q32" s="1459"/>
      <c r="R32" s="594"/>
      <c r="V32" s="535" t="s">
        <v>3</v>
      </c>
    </row>
    <row r="33" spans="1:18" ht="12" customHeight="1" x14ac:dyDescent="0.25">
      <c r="B33" s="726" t="s">
        <v>46</v>
      </c>
      <c r="C33" s="2337" t="s">
        <v>47</v>
      </c>
      <c r="D33" s="2337"/>
      <c r="E33" s="2337"/>
      <c r="F33" s="2338"/>
      <c r="G33" s="1470">
        <f>'1. T1 INVESTOINTISUUN.'!E40/1000</f>
        <v>0</v>
      </c>
      <c r="H33" s="1470">
        <f>'1. T1 INVESTOINTISUUN.'!F40/1000</f>
        <v>0</v>
      </c>
      <c r="I33" s="1470">
        <f>'1. T1 INVESTOINTISUUN.'!G40/1000</f>
        <v>0</v>
      </c>
      <c r="J33" s="1470">
        <f>'1. T1 INVESTOINTISUUN.'!H40/1000</f>
        <v>0</v>
      </c>
      <c r="K33" s="1470">
        <f>'1. T1 INVESTOINTISUUN.'!I40/1000</f>
        <v>0</v>
      </c>
      <c r="L33" s="593">
        <f>'1. T1 INVESTOINTISUUN.'!K40</f>
        <v>0</v>
      </c>
      <c r="M33" s="1459"/>
      <c r="N33" s="1459"/>
      <c r="O33" s="1459"/>
      <c r="P33" s="1459"/>
      <c r="Q33" s="1459"/>
      <c r="R33" s="594"/>
    </row>
    <row r="34" spans="1:18" ht="11.25" customHeight="1" x14ac:dyDescent="0.25">
      <c r="B34" s="2220" t="s">
        <v>635</v>
      </c>
      <c r="C34" s="2221"/>
      <c r="D34" s="1811"/>
      <c r="E34" s="1811"/>
      <c r="F34" s="1811"/>
      <c r="G34" s="1473" t="s">
        <v>624</v>
      </c>
      <c r="H34" s="1473" t="s">
        <v>625</v>
      </c>
      <c r="I34" s="1473" t="s">
        <v>626</v>
      </c>
      <c r="J34" s="1473" t="s">
        <v>627</v>
      </c>
      <c r="K34" s="2339" t="s">
        <v>628</v>
      </c>
      <c r="L34" s="2341" t="s">
        <v>636</v>
      </c>
      <c r="M34" s="2341"/>
      <c r="N34" s="2341"/>
      <c r="O34" s="2341"/>
      <c r="P34" s="2341"/>
      <c r="Q34" s="2341"/>
      <c r="R34" s="2342"/>
    </row>
    <row r="35" spans="1:18" ht="11.25" customHeight="1" x14ac:dyDescent="0.25">
      <c r="B35" s="2224"/>
      <c r="C35" s="2225"/>
      <c r="D35" s="1812"/>
      <c r="E35" s="1812"/>
      <c r="F35" s="1812"/>
      <c r="G35" s="1474">
        <f>G16</f>
        <v>2024</v>
      </c>
      <c r="H35" s="1474">
        <f>H16</f>
        <v>2025</v>
      </c>
      <c r="I35" s="1474">
        <f>I16</f>
        <v>2026</v>
      </c>
      <c r="J35" s="1475">
        <f>J16</f>
        <v>2027</v>
      </c>
      <c r="K35" s="2340"/>
      <c r="L35" s="2343"/>
      <c r="M35" s="2343"/>
      <c r="N35" s="2343"/>
      <c r="O35" s="2343"/>
      <c r="P35" s="2343"/>
      <c r="Q35" s="2343"/>
      <c r="R35" s="2344"/>
    </row>
    <row r="36" spans="1:18" ht="12" customHeight="1" x14ac:dyDescent="0.25">
      <c r="B36" s="2365" t="s">
        <v>637</v>
      </c>
      <c r="C36" s="2337"/>
      <c r="D36" s="1822"/>
      <c r="E36" s="1822"/>
      <c r="F36" s="1823"/>
      <c r="G36" s="1471"/>
      <c r="H36" s="1471"/>
      <c r="I36" s="1471"/>
      <c r="J36" s="1471"/>
      <c r="K36" s="1472" t="s">
        <v>3</v>
      </c>
      <c r="L36" s="430"/>
      <c r="M36" s="1460"/>
      <c r="N36" s="1460"/>
      <c r="O36" s="1460"/>
      <c r="P36" s="1460"/>
      <c r="Q36" s="1460"/>
      <c r="R36" s="524"/>
    </row>
    <row r="37" spans="1:18" ht="12" customHeight="1" x14ac:dyDescent="0.25">
      <c r="B37" s="726" t="s">
        <v>50</v>
      </c>
      <c r="C37" s="804" t="s">
        <v>51</v>
      </c>
      <c r="D37" s="804"/>
      <c r="E37" s="804"/>
      <c r="F37" s="805"/>
      <c r="G37" s="728"/>
      <c r="H37" s="728"/>
      <c r="I37" s="728"/>
      <c r="J37" s="728"/>
      <c r="K37" s="729"/>
      <c r="L37" s="430"/>
      <c r="M37" s="1460"/>
      <c r="N37" s="1460"/>
      <c r="O37" s="1460"/>
      <c r="P37" s="1460"/>
      <c r="Q37" s="1460"/>
      <c r="R37" s="524"/>
    </row>
    <row r="38" spans="1:18" ht="12" customHeight="1" x14ac:dyDescent="0.25">
      <c r="B38" s="726"/>
      <c r="C38" s="710" t="s">
        <v>638</v>
      </c>
      <c r="D38" s="710"/>
      <c r="E38" s="710"/>
      <c r="F38" s="730"/>
      <c r="G38" s="891">
        <f>'1. T1 INVESTOINTISUUN.'!E46/1000</f>
        <v>0</v>
      </c>
      <c r="H38" s="891">
        <f>'1. T1 INVESTOINTISUUN.'!F46/1000</f>
        <v>0</v>
      </c>
      <c r="I38" s="891">
        <f>'1. T1 INVESTOINTISUUN.'!G46/1000</f>
        <v>0</v>
      </c>
      <c r="J38" s="891">
        <f>'1. T1 INVESTOINTISUUN.'!H46/1000</f>
        <v>0</v>
      </c>
      <c r="K38" s="891">
        <f>'1. T1 INVESTOINTISUUN.'!I46/1000</f>
        <v>0</v>
      </c>
      <c r="L38" s="430"/>
      <c r="M38" s="1460"/>
      <c r="N38" s="1460"/>
      <c r="O38" s="1460"/>
      <c r="P38" s="1460"/>
      <c r="Q38" s="1460"/>
      <c r="R38" s="524"/>
    </row>
    <row r="39" spans="1:18" ht="12" customHeight="1" x14ac:dyDescent="0.25">
      <c r="B39" s="726"/>
      <c r="C39" s="710" t="s">
        <v>53</v>
      </c>
      <c r="D39" s="710"/>
      <c r="E39" s="710"/>
      <c r="F39" s="730"/>
      <c r="G39" s="891">
        <f>'1. T1 INVESTOINTISUUN.'!E47/1000</f>
        <v>0</v>
      </c>
      <c r="H39" s="891">
        <f>'1. T1 INVESTOINTISUUN.'!F47/1000</f>
        <v>0</v>
      </c>
      <c r="I39" s="891">
        <f>'1. T1 INVESTOINTISUUN.'!G47/1000</f>
        <v>0</v>
      </c>
      <c r="J39" s="891">
        <f>'1. T1 INVESTOINTISUUN.'!H47/1000</f>
        <v>0</v>
      </c>
      <c r="K39" s="891">
        <f>'1. T1 INVESTOINTISUUN.'!I47/1000</f>
        <v>0</v>
      </c>
      <c r="L39" s="430"/>
      <c r="M39" s="1460"/>
      <c r="N39" s="1460"/>
      <c r="O39" s="1460"/>
      <c r="P39" s="1460"/>
      <c r="Q39" s="1460"/>
      <c r="R39" s="524"/>
    </row>
    <row r="40" spans="1:18" ht="12" customHeight="1" x14ac:dyDescent="0.25">
      <c r="B40" s="726" t="s">
        <v>54</v>
      </c>
      <c r="C40" s="708" t="s">
        <v>55</v>
      </c>
      <c r="D40" s="708"/>
      <c r="E40" s="708"/>
      <c r="F40" s="727"/>
      <c r="G40" s="891">
        <f>'1. T1 INVESTOINTISUUN.'!E48/1000</f>
        <v>0</v>
      </c>
      <c r="H40" s="891">
        <f>'1. T1 INVESTOINTISUUN.'!F48/1000</f>
        <v>0</v>
      </c>
      <c r="I40" s="891">
        <f>'1. T1 INVESTOINTISUUN.'!G48/1000</f>
        <v>0</v>
      </c>
      <c r="J40" s="891">
        <f>'1. T1 INVESTOINTISUUN.'!H48/1000</f>
        <v>0</v>
      </c>
      <c r="K40" s="891">
        <f>'1. T1 INVESTOINTISUUN.'!I48/1000</f>
        <v>0</v>
      </c>
      <c r="L40" s="430"/>
      <c r="M40" s="1460"/>
      <c r="N40" s="1460"/>
      <c r="O40" s="1460"/>
      <c r="P40" s="1460"/>
      <c r="Q40" s="1460"/>
      <c r="R40" s="524"/>
    </row>
    <row r="41" spans="1:18" ht="12" customHeight="1" x14ac:dyDescent="0.25">
      <c r="B41" s="726" t="s">
        <v>56</v>
      </c>
      <c r="C41" s="708" t="s">
        <v>57</v>
      </c>
      <c r="D41" s="708"/>
      <c r="E41" s="708"/>
      <c r="F41" s="727"/>
      <c r="G41" s="891">
        <f>'1. T1 INVESTOINTISUUN.'!E49/1000</f>
        <v>0</v>
      </c>
      <c r="H41" s="891">
        <f>'1. T1 INVESTOINTISUUN.'!F49/1000</f>
        <v>0</v>
      </c>
      <c r="I41" s="891">
        <f>'1. T1 INVESTOINTISUUN.'!G49/1000</f>
        <v>0</v>
      </c>
      <c r="J41" s="891">
        <f>'1. T1 INVESTOINTISUUN.'!H49/1000</f>
        <v>0</v>
      </c>
      <c r="K41" s="891">
        <f>'1. T1 INVESTOINTISUUN.'!I49/1000</f>
        <v>0</v>
      </c>
      <c r="L41" s="430"/>
      <c r="M41" s="1460"/>
      <c r="N41" s="1460"/>
      <c r="O41" s="1460"/>
      <c r="P41" s="1460"/>
      <c r="Q41" s="1460"/>
      <c r="R41" s="524"/>
    </row>
    <row r="42" spans="1:18" ht="12" customHeight="1" x14ac:dyDescent="0.25">
      <c r="A42">
        <v>0</v>
      </c>
      <c r="B42" s="726" t="s">
        <v>58</v>
      </c>
      <c r="C42" s="710" t="s">
        <v>59</v>
      </c>
      <c r="D42" s="710"/>
      <c r="E42" s="710"/>
      <c r="F42" s="730"/>
      <c r="G42" s="891">
        <f>'1. T1 INVESTOINTISUUN.'!E50/1000</f>
        <v>0</v>
      </c>
      <c r="H42" s="891">
        <f>'1. T1 INVESTOINTISUUN.'!F50/1000</f>
        <v>0</v>
      </c>
      <c r="I42" s="891">
        <f>'1. T1 INVESTOINTISUUN.'!G50/1000</f>
        <v>0</v>
      </c>
      <c r="J42" s="891">
        <f>'1. T1 INVESTOINTISUUN.'!H50/1000</f>
        <v>0</v>
      </c>
      <c r="K42" s="731">
        <f>'1. T1 INVESTOINTISUUN.'!I50/1000</f>
        <v>0</v>
      </c>
      <c r="L42" s="429"/>
      <c r="M42" s="1460"/>
      <c r="N42" s="1460"/>
      <c r="O42" s="1460"/>
      <c r="P42" s="1460"/>
      <c r="Q42" s="1460"/>
      <c r="R42" s="524"/>
    </row>
    <row r="43" spans="1:18" ht="12" customHeight="1" x14ac:dyDescent="0.25">
      <c r="B43" s="2366" t="s">
        <v>639</v>
      </c>
      <c r="C43" s="2367"/>
      <c r="D43" s="1827"/>
      <c r="E43" s="1827"/>
      <c r="F43" s="808"/>
      <c r="G43" s="802"/>
      <c r="H43" s="802"/>
      <c r="I43" s="802"/>
      <c r="J43" s="802"/>
      <c r="K43" s="803"/>
      <c r="L43" s="1300" t="s">
        <v>61</v>
      </c>
      <c r="M43" s="1461"/>
      <c r="N43" s="1461" t="s">
        <v>62</v>
      </c>
      <c r="O43" s="2357" t="s">
        <v>63</v>
      </c>
      <c r="P43" s="2357"/>
      <c r="Q43" s="1460"/>
      <c r="R43" s="524"/>
    </row>
    <row r="44" spans="1:18" ht="12" customHeight="1" x14ac:dyDescent="0.25">
      <c r="B44" s="726" t="s">
        <v>66</v>
      </c>
      <c r="C44" s="806" t="str">
        <f>'1. T1 INVESTOINTISUUN.'!C53</f>
        <v xml:space="preserve">Finnvera </v>
      </c>
      <c r="D44" s="806"/>
      <c r="E44" s="806"/>
      <c r="F44" s="807"/>
      <c r="G44" s="891">
        <f>'1. T1 INVESTOINTISUUN.'!E53/1000</f>
        <v>0</v>
      </c>
      <c r="H44" s="891">
        <f>'1. T1 INVESTOINTISUUN.'!F53/1000</f>
        <v>0</v>
      </c>
      <c r="I44" s="891">
        <f>'1. T1 INVESTOINTISUUN.'!G53/1000</f>
        <v>0</v>
      </c>
      <c r="J44" s="891">
        <f>'1. T1 INVESTOINTISUUN.'!H53/1000</f>
        <v>0</v>
      </c>
      <c r="K44" s="731">
        <f>'1. T1 INVESTOINTISUUN.'!I53/1000</f>
        <v>0</v>
      </c>
      <c r="L44" s="1457" t="str">
        <f>C44</f>
        <v xml:space="preserve">Finnvera </v>
      </c>
      <c r="M44" s="744"/>
      <c r="N44" s="745">
        <f>'1. T1 INVESTOINTISUUN.'!M52</f>
        <v>0</v>
      </c>
      <c r="O44" s="2355">
        <f>'1. T1 INVESTOINTISUUN.'!N52</f>
        <v>0</v>
      </c>
      <c r="P44" s="2356"/>
      <c r="Q44" s="1460"/>
      <c r="R44" s="524"/>
    </row>
    <row r="45" spans="1:18" ht="12" customHeight="1" x14ac:dyDescent="0.25">
      <c r="A45" s="41"/>
      <c r="B45" s="726" t="s">
        <v>68</v>
      </c>
      <c r="C45" s="710" t="str">
        <f>'1. T1 INVESTOINTISUUN.'!C54</f>
        <v>Pankki</v>
      </c>
      <c r="D45" s="710"/>
      <c r="E45" s="710"/>
      <c r="F45" s="730"/>
      <c r="G45" s="891">
        <f>'1. T1 INVESTOINTISUUN.'!E54/1000</f>
        <v>0</v>
      </c>
      <c r="H45" s="891">
        <f>'1. T1 INVESTOINTISUUN.'!F54/1000</f>
        <v>0</v>
      </c>
      <c r="I45" s="891">
        <f>'1. T1 INVESTOINTISUUN.'!G54/1000</f>
        <v>0</v>
      </c>
      <c r="J45" s="891">
        <f>'1. T1 INVESTOINTISUUN.'!H54/1000</f>
        <v>0</v>
      </c>
      <c r="K45" s="731">
        <f>'1. T1 INVESTOINTISUUN.'!I54/1000</f>
        <v>0</v>
      </c>
      <c r="L45" s="1457" t="str">
        <f>C45</f>
        <v>Pankki</v>
      </c>
      <c r="M45" s="744"/>
      <c r="N45" s="745">
        <f>'1. T1 INVESTOINTISUUN.'!M53</f>
        <v>0</v>
      </c>
      <c r="O45" s="2355">
        <f>'1. T1 INVESTOINTISUUN.'!N53</f>
        <v>0</v>
      </c>
      <c r="P45" s="2356"/>
      <c r="Q45" s="1460"/>
      <c r="R45" s="524"/>
    </row>
    <row r="46" spans="1:18" ht="12" customHeight="1" x14ac:dyDescent="0.25">
      <c r="A46" s="2"/>
      <c r="B46" s="726" t="s">
        <v>71</v>
      </c>
      <c r="C46" s="710" t="str">
        <f>'1. T1 INVESTOINTISUUN.'!C55</f>
        <v>Osamaksurahoitus, eläkelaina tms.</v>
      </c>
      <c r="D46" s="710"/>
      <c r="E46" s="710"/>
      <c r="F46" s="730"/>
      <c r="G46" s="891">
        <f>'1. T1 INVESTOINTISUUN.'!E55/1000</f>
        <v>0</v>
      </c>
      <c r="H46" s="891">
        <f>'1. T1 INVESTOINTISUUN.'!F55/1000</f>
        <v>0</v>
      </c>
      <c r="I46" s="891">
        <f>'1. T1 INVESTOINTISUUN.'!G55/1000</f>
        <v>0</v>
      </c>
      <c r="J46" s="891">
        <f>'1. T1 INVESTOINTISUUN.'!H55/1000</f>
        <v>0</v>
      </c>
      <c r="K46" s="731">
        <f>'1. T1 INVESTOINTISUUN.'!I55/1000</f>
        <v>0</v>
      </c>
      <c r="L46" s="1457" t="s">
        <v>70</v>
      </c>
      <c r="M46" s="744"/>
      <c r="N46" s="745">
        <f>'1. T1 INVESTOINTISUUN.'!M54</f>
        <v>0</v>
      </c>
      <c r="O46" s="2355">
        <f>'1. T1 INVESTOINTISUUN.'!N54</f>
        <v>0</v>
      </c>
      <c r="P46" s="2356"/>
      <c r="Q46" s="1460"/>
      <c r="R46" s="524"/>
    </row>
    <row r="47" spans="1:18" ht="12" customHeight="1" x14ac:dyDescent="0.25">
      <c r="B47" s="726" t="s">
        <v>74</v>
      </c>
      <c r="C47" s="710" t="s">
        <v>640</v>
      </c>
      <c r="D47" s="710"/>
      <c r="E47" s="710"/>
      <c r="F47" s="730"/>
      <c r="G47" s="891">
        <f>'1. T1 INVESTOINTISUUN.'!E56/1000</f>
        <v>0</v>
      </c>
      <c r="H47" s="891">
        <f>'1. T1 INVESTOINTISUUN.'!F56/1000</f>
        <v>0</v>
      </c>
      <c r="I47" s="891">
        <f>'1. T1 INVESTOINTISUUN.'!G56/1000</f>
        <v>0</v>
      </c>
      <c r="J47" s="891">
        <f>'1. T1 INVESTOINTISUUN.'!H56/1000</f>
        <v>0</v>
      </c>
      <c r="K47" s="731">
        <f>'1. T1 INVESTOINTISUUN.'!I56/1000</f>
        <v>0</v>
      </c>
      <c r="L47" s="1457" t="s">
        <v>641</v>
      </c>
      <c r="M47" s="744"/>
      <c r="N47" s="745">
        <f>'1. T1 INVESTOINTISUUN.'!M55</f>
        <v>0</v>
      </c>
      <c r="O47" s="2355">
        <f>'1. T1 INVESTOINTISUUN.'!N55</f>
        <v>0</v>
      </c>
      <c r="P47" s="2356"/>
      <c r="Q47" s="1460"/>
      <c r="R47" s="524"/>
    </row>
    <row r="48" spans="1:18" ht="12" customHeight="1" x14ac:dyDescent="0.25">
      <c r="B48" s="726" t="s">
        <v>76</v>
      </c>
      <c r="C48" s="710" t="s">
        <v>642</v>
      </c>
      <c r="D48" s="710"/>
      <c r="E48" s="710"/>
      <c r="F48" s="730"/>
      <c r="G48" s="891">
        <f>'1. T1 INVESTOINTISUUN.'!E57/1000</f>
        <v>0</v>
      </c>
      <c r="H48" s="891">
        <f>'1. T1 INVESTOINTISUUN.'!F57/1000</f>
        <v>0</v>
      </c>
      <c r="I48" s="891">
        <f>'1. T1 INVESTOINTISUUN.'!G57/1000</f>
        <v>0</v>
      </c>
      <c r="J48" s="891">
        <f>'1. T1 INVESTOINTISUUN.'!H57/1000</f>
        <v>0</v>
      </c>
      <c r="K48" s="731">
        <f>'1. T1 INVESTOINTISUUN.'!I57/1000</f>
        <v>0</v>
      </c>
      <c r="L48" s="429"/>
      <c r="M48" s="1460"/>
      <c r="N48" s="1462"/>
      <c r="O48" s="1463"/>
      <c r="P48" s="1464"/>
      <c r="Q48" s="1460"/>
      <c r="R48" s="524"/>
    </row>
    <row r="49" spans="2:18" ht="12" customHeight="1" x14ac:dyDescent="0.25">
      <c r="B49" s="726" t="s">
        <v>78</v>
      </c>
      <c r="C49" s="708" t="s">
        <v>79</v>
      </c>
      <c r="D49" s="708"/>
      <c r="E49" s="708"/>
      <c r="F49" s="727"/>
      <c r="G49" s="891">
        <f>'1. T1 INVESTOINTISUUN.'!E58/1000</f>
        <v>0</v>
      </c>
      <c r="H49" s="891">
        <f>'1. T1 INVESTOINTISUUN.'!F58/1000</f>
        <v>0</v>
      </c>
      <c r="I49" s="891">
        <f>'1. T1 INVESTOINTISUUN.'!G58/1000</f>
        <v>0</v>
      </c>
      <c r="J49" s="891">
        <f>'1. T1 INVESTOINTISUUN.'!H58/1000</f>
        <v>0</v>
      </c>
      <c r="K49" s="731">
        <f>'1. T1 INVESTOINTISUUN.'!I58/1000</f>
        <v>0</v>
      </c>
      <c r="L49" s="429"/>
      <c r="M49" s="1460"/>
      <c r="N49" s="1460"/>
      <c r="O49" s="1460"/>
      <c r="P49" s="1460"/>
      <c r="Q49" s="1460"/>
      <c r="R49" s="524"/>
    </row>
    <row r="50" spans="2:18" ht="12" customHeight="1" x14ac:dyDescent="0.25">
      <c r="B50" s="726" t="s">
        <v>80</v>
      </c>
      <c r="C50" s="708" t="s">
        <v>81</v>
      </c>
      <c r="D50" s="708"/>
      <c r="E50" s="708"/>
      <c r="F50" s="727"/>
      <c r="G50" s="891">
        <f>'1. T1 INVESTOINTISUUN.'!E59/1000</f>
        <v>0</v>
      </c>
      <c r="H50" s="891">
        <f>'1. T1 INVESTOINTISUUN.'!F59/1000</f>
        <v>0</v>
      </c>
      <c r="I50" s="891">
        <f>'1. T1 INVESTOINTISUUN.'!G59/1000</f>
        <v>0</v>
      </c>
      <c r="J50" s="891">
        <f>'1. T1 INVESTOINTISUUN.'!H59/1000</f>
        <v>0</v>
      </c>
      <c r="K50" s="731">
        <f>'1. T1 INVESTOINTISUUN.'!I59/1000</f>
        <v>0</v>
      </c>
      <c r="L50" s="429"/>
      <c r="M50" s="1460"/>
      <c r="N50" s="1460"/>
      <c r="O50" s="1460">
        <v>0</v>
      </c>
      <c r="P50" s="1460"/>
      <c r="Q50" s="1460"/>
      <c r="R50" s="524"/>
    </row>
    <row r="51" spans="2:18" ht="12" customHeight="1" x14ac:dyDescent="0.25">
      <c r="B51" s="1465">
        <v>22</v>
      </c>
      <c r="C51" s="703" t="s">
        <v>83</v>
      </c>
      <c r="D51" s="703"/>
      <c r="E51" s="703"/>
      <c r="F51" s="703"/>
      <c r="G51" s="1299">
        <f>'1. T1 INVESTOINTISUUN.'!E60/1000</f>
        <v>0</v>
      </c>
      <c r="H51" s="1299">
        <f>'1. T1 INVESTOINTISUUN.'!F60/1000</f>
        <v>0</v>
      </c>
      <c r="I51" s="1299">
        <f>'1. T1 INVESTOINTISUUN.'!G60/1000</f>
        <v>0</v>
      </c>
      <c r="J51" s="1299">
        <f>'1. T1 INVESTOINTISUUN.'!H60/1000</f>
        <v>0</v>
      </c>
      <c r="K51" s="1466">
        <f>'1. T1 INVESTOINTISUUN.'!I60/1000</f>
        <v>0</v>
      </c>
      <c r="L51" s="1467"/>
      <c r="M51" s="1468"/>
      <c r="N51" s="1468"/>
      <c r="O51" s="1468"/>
      <c r="P51" s="1468"/>
      <c r="Q51" s="1468"/>
      <c r="R51" s="1469"/>
    </row>
    <row r="52" spans="2:18" ht="11.7" customHeight="1" x14ac:dyDescent="0.25">
      <c r="B52" s="113"/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</row>
    <row r="53" spans="2:18" ht="11.25" customHeight="1" x14ac:dyDescent="0.25">
      <c r="B53" s="2220" t="s">
        <v>643</v>
      </c>
      <c r="C53" s="2221"/>
      <c r="D53" s="2221"/>
      <c r="E53" s="2221"/>
      <c r="F53" s="1476"/>
      <c r="G53" s="2368"/>
      <c r="H53" s="2368"/>
      <c r="I53" s="2368"/>
      <c r="J53" s="2368"/>
      <c r="K53" s="2348" t="s">
        <v>19</v>
      </c>
      <c r="L53" s="2349"/>
      <c r="M53" s="2348" t="s">
        <v>20</v>
      </c>
      <c r="N53" s="2349"/>
      <c r="O53" s="2348" t="s">
        <v>21</v>
      </c>
      <c r="P53" s="2349"/>
      <c r="Q53" s="2350" t="s">
        <v>22</v>
      </c>
      <c r="R53" s="2349"/>
    </row>
    <row r="54" spans="2:18" ht="11.25" customHeight="1" x14ac:dyDescent="0.25">
      <c r="B54" s="2222"/>
      <c r="C54" s="2223"/>
      <c r="D54" s="2223"/>
      <c r="E54" s="2223"/>
      <c r="F54" s="1477"/>
      <c r="G54" s="2351"/>
      <c r="H54" s="2351"/>
      <c r="I54" s="2351"/>
      <c r="J54" s="2351"/>
      <c r="K54" s="2352">
        <f>G35</f>
        <v>2024</v>
      </c>
      <c r="L54" s="2353"/>
      <c r="M54" s="2352">
        <f>H35</f>
        <v>2025</v>
      </c>
      <c r="N54" s="2353"/>
      <c r="O54" s="2352">
        <f>I35</f>
        <v>2026</v>
      </c>
      <c r="P54" s="2353"/>
      <c r="Q54" s="2354">
        <f>J35</f>
        <v>2027</v>
      </c>
      <c r="R54" s="2353"/>
    </row>
    <row r="55" spans="2:18" ht="11.25" customHeight="1" x14ac:dyDescent="0.25">
      <c r="B55" s="2224"/>
      <c r="C55" s="2225"/>
      <c r="D55" s="2225"/>
      <c r="E55" s="2225"/>
      <c r="F55" s="1478"/>
      <c r="G55" s="1479"/>
      <c r="H55" s="1480"/>
      <c r="I55" s="1479"/>
      <c r="J55" s="1480"/>
      <c r="K55" s="1491" t="s">
        <v>644</v>
      </c>
      <c r="L55" s="1482" t="s">
        <v>142</v>
      </c>
      <c r="M55" s="1491" t="s">
        <v>644</v>
      </c>
      <c r="N55" s="1482" t="s">
        <v>142</v>
      </c>
      <c r="O55" s="1491" t="s">
        <v>644</v>
      </c>
      <c r="P55" s="1482" t="s">
        <v>142</v>
      </c>
      <c r="Q55" s="1481" t="s">
        <v>644</v>
      </c>
      <c r="R55" s="1482" t="s">
        <v>142</v>
      </c>
    </row>
    <row r="56" spans="2:18" ht="12.6" customHeight="1" x14ac:dyDescent="0.25">
      <c r="B56" s="1489"/>
      <c r="C56" s="1490" t="s">
        <v>143</v>
      </c>
      <c r="D56" s="1824"/>
      <c r="E56" s="1824"/>
      <c r="F56" s="1824"/>
      <c r="G56" s="2345"/>
      <c r="H56" s="2345"/>
      <c r="I56" s="2345"/>
      <c r="J56" s="2345"/>
      <c r="K56" s="2346"/>
      <c r="L56" s="2347"/>
      <c r="M56" s="2346"/>
      <c r="N56" s="2347"/>
      <c r="O56" s="2346"/>
      <c r="P56" s="2347"/>
      <c r="Q56" s="2345"/>
      <c r="R56" s="2347"/>
    </row>
    <row r="57" spans="2:18" ht="12" customHeight="1" x14ac:dyDescent="0.25">
      <c r="B57" s="712" t="s">
        <v>24</v>
      </c>
      <c r="C57" s="504" t="s">
        <v>274</v>
      </c>
      <c r="D57" s="504"/>
      <c r="E57" s="504"/>
      <c r="F57" s="504"/>
      <c r="G57" s="1483"/>
      <c r="H57" s="1484"/>
      <c r="I57" s="1485"/>
      <c r="J57" s="1486"/>
      <c r="K57" s="1592">
        <f>'7. T2 TULOSSUUN.'!G11/1000</f>
        <v>0</v>
      </c>
      <c r="L57" s="1487">
        <v>0</v>
      </c>
      <c r="M57" s="1592">
        <f>'7. T2 TULOSSUUN.'!I11/1000</f>
        <v>0</v>
      </c>
      <c r="N57" s="1487">
        <v>0</v>
      </c>
      <c r="O57" s="1592">
        <f>'7. T2 TULOSSUUN.'!K11/1000</f>
        <v>0</v>
      </c>
      <c r="P57" s="1487">
        <v>0</v>
      </c>
      <c r="Q57" s="1561">
        <f>'7. T2 TULOSSUUN.'!M11/1000</f>
        <v>0</v>
      </c>
      <c r="R57" s="1488">
        <v>0</v>
      </c>
    </row>
    <row r="58" spans="2:18" ht="12" customHeight="1" x14ac:dyDescent="0.25">
      <c r="B58" s="712" t="s">
        <v>28</v>
      </c>
      <c r="C58" s="714" t="s">
        <v>523</v>
      </c>
      <c r="D58" s="714"/>
      <c r="E58" s="714"/>
      <c r="F58" s="714"/>
      <c r="G58" s="722"/>
      <c r="H58" s="837"/>
      <c r="I58" s="840"/>
      <c r="J58" s="841"/>
      <c r="K58" s="1813">
        <f>'7. T2 TULOSSUUN.'!G12/1000</f>
        <v>0</v>
      </c>
      <c r="L58" s="1291"/>
      <c r="M58" s="1813">
        <f>'7. T2 TULOSSUUN.'!I12/1000</f>
        <v>0</v>
      </c>
      <c r="N58" s="1291"/>
      <c r="O58" s="1813">
        <f>'7. T2 TULOSSUUN.'!K12/1000</f>
        <v>0</v>
      </c>
      <c r="P58" s="1291"/>
      <c r="Q58" s="1594">
        <f>'7. T2 TULOSSUUN.'!M12/1000</f>
        <v>0</v>
      </c>
      <c r="R58" s="1292"/>
    </row>
    <row r="59" spans="2:18" ht="12" customHeight="1" x14ac:dyDescent="0.25">
      <c r="B59" s="712" t="s">
        <v>32</v>
      </c>
      <c r="C59" s="714" t="s">
        <v>524</v>
      </c>
      <c r="D59" s="714"/>
      <c r="E59" s="714"/>
      <c r="F59" s="714"/>
      <c r="G59" s="722"/>
      <c r="H59" s="837"/>
      <c r="I59" s="840"/>
      <c r="J59" s="841"/>
      <c r="K59" s="1813">
        <f>'7. T2 TULOSSUUN.'!G13/1000</f>
        <v>0</v>
      </c>
      <c r="L59" s="1291"/>
      <c r="M59" s="1813">
        <f>'7. T2 TULOSSUUN.'!I13/1000</f>
        <v>0</v>
      </c>
      <c r="N59" s="1291"/>
      <c r="O59" s="1813">
        <f>'7. T2 TULOSSUUN.'!K13/1000</f>
        <v>0</v>
      </c>
      <c r="P59" s="1291"/>
      <c r="Q59" s="1594">
        <f>'7. T2 TULOSSUUN.'!M13/1000</f>
        <v>0</v>
      </c>
      <c r="R59" s="1292"/>
    </row>
    <row r="60" spans="2:18" ht="12" customHeight="1" x14ac:dyDescent="0.25">
      <c r="B60" s="712" t="s">
        <v>34</v>
      </c>
      <c r="C60" s="716" t="s">
        <v>525</v>
      </c>
      <c r="D60" s="716"/>
      <c r="E60" s="716"/>
      <c r="F60" s="716"/>
      <c r="G60" s="723"/>
      <c r="H60" s="838"/>
      <c r="I60" s="842"/>
      <c r="J60" s="843"/>
      <c r="K60" s="1593">
        <f>'7. T2 TULOSSUUN.'!G14/1000</f>
        <v>0</v>
      </c>
      <c r="L60" s="1293">
        <v>100</v>
      </c>
      <c r="M60" s="1593">
        <f>'7. T2 TULOSSUUN.'!I14/1000</f>
        <v>0</v>
      </c>
      <c r="N60" s="1293">
        <v>100</v>
      </c>
      <c r="O60" s="1593">
        <f>'7. T2 TULOSSUUN.'!K14/1000</f>
        <v>0</v>
      </c>
      <c r="P60" s="1293">
        <v>100</v>
      </c>
      <c r="Q60" s="1595">
        <f>'7. T2 TULOSSUUN.'!M14/1000</f>
        <v>0</v>
      </c>
      <c r="R60" s="1294">
        <v>100</v>
      </c>
    </row>
    <row r="61" spans="2:18" ht="12" customHeight="1" x14ac:dyDescent="0.25">
      <c r="B61" s="712" t="s">
        <v>36</v>
      </c>
      <c r="C61" s="714" t="s">
        <v>526</v>
      </c>
      <c r="D61" s="714"/>
      <c r="E61" s="714"/>
      <c r="F61" s="714"/>
      <c r="G61" s="722"/>
      <c r="H61" s="837"/>
      <c r="I61" s="840"/>
      <c r="J61" s="841"/>
      <c r="K61" s="1813">
        <f>'7. T2 TULOSSUUN.'!G15/1000</f>
        <v>0</v>
      </c>
      <c r="L61" s="1295">
        <f>'7. T2 TULOSSUUN.'!H15</f>
        <v>0</v>
      </c>
      <c r="M61" s="1813">
        <f>'7. T2 TULOSSUUN.'!I15/1000</f>
        <v>0</v>
      </c>
      <c r="N61" s="1295">
        <f>'7. T2 TULOSSUUN.'!J15</f>
        <v>0</v>
      </c>
      <c r="O61" s="1813">
        <f>'7. T2 TULOSSUUN.'!K15/1000</f>
        <v>0</v>
      </c>
      <c r="P61" s="1295">
        <f>'7. T2 TULOSSUUN.'!L15</f>
        <v>0</v>
      </c>
      <c r="Q61" s="1594">
        <f>'7. T2 TULOSSUUN.'!M15/1000</f>
        <v>0</v>
      </c>
      <c r="R61" s="1296">
        <f>'7. T2 TULOSSUUN.'!N15</f>
        <v>0</v>
      </c>
    </row>
    <row r="62" spans="2:18" ht="12" customHeight="1" x14ac:dyDescent="0.25">
      <c r="B62" s="712" t="s">
        <v>38</v>
      </c>
      <c r="C62" s="714" t="s">
        <v>527</v>
      </c>
      <c r="D62" s="714"/>
      <c r="E62" s="714"/>
      <c r="F62" s="714"/>
      <c r="G62" s="722"/>
      <c r="H62" s="837"/>
      <c r="I62" s="840"/>
      <c r="J62" s="841"/>
      <c r="K62" s="1813">
        <f>'7. T2 TULOSSUUN.'!G16/1000</f>
        <v>0</v>
      </c>
      <c r="L62" s="1295">
        <f>'7. T2 TULOSSUUN.'!H16</f>
        <v>0</v>
      </c>
      <c r="M62" s="1813">
        <f>'7. T2 TULOSSUUN.'!I16/1000</f>
        <v>0</v>
      </c>
      <c r="N62" s="1295">
        <f>'7. T2 TULOSSUUN.'!J16</f>
        <v>0</v>
      </c>
      <c r="O62" s="1813">
        <f>'7. T2 TULOSSUUN.'!K16/1000</f>
        <v>0</v>
      </c>
      <c r="P62" s="1295">
        <f>'7. T2 TULOSSUUN.'!L16</f>
        <v>0</v>
      </c>
      <c r="Q62" s="1594">
        <f>'7. T2 TULOSSUUN.'!M16/1000</f>
        <v>0</v>
      </c>
      <c r="R62" s="1296">
        <f>'7. T2 TULOSSUUN.'!N16</f>
        <v>0</v>
      </c>
    </row>
    <row r="63" spans="2:18" ht="12" customHeight="1" x14ac:dyDescent="0.25">
      <c r="B63" s="712" t="s">
        <v>40</v>
      </c>
      <c r="C63" s="714" t="s">
        <v>645</v>
      </c>
      <c r="D63" s="714"/>
      <c r="E63" s="714"/>
      <c r="F63" s="714"/>
      <c r="G63" s="722"/>
      <c r="H63" s="837"/>
      <c r="I63" s="840"/>
      <c r="J63" s="841"/>
      <c r="K63" s="1813">
        <f>'7. T2 TULOSSUUN.'!G17/1000</f>
        <v>0</v>
      </c>
      <c r="L63" s="1295">
        <f>'7. T2 TULOSSUUN.'!H17</f>
        <v>0</v>
      </c>
      <c r="M63" s="1813">
        <f>'7. T2 TULOSSUUN.'!I17/1000</f>
        <v>0</v>
      </c>
      <c r="N63" s="1295">
        <f>'7. T2 TULOSSUUN.'!J17</f>
        <v>0</v>
      </c>
      <c r="O63" s="1813">
        <f>'7. T2 TULOSSUUN.'!K17/1000</f>
        <v>0</v>
      </c>
      <c r="P63" s="1295">
        <f>'7. T2 TULOSSUUN.'!L17</f>
        <v>0</v>
      </c>
      <c r="Q63" s="1594">
        <f>'7. T2 TULOSSUUN.'!M17/1000</f>
        <v>0</v>
      </c>
      <c r="R63" s="1296">
        <f>'7. T2 TULOSSUUN.'!N17</f>
        <v>0</v>
      </c>
    </row>
    <row r="64" spans="2:18" ht="12" customHeight="1" x14ac:dyDescent="0.25">
      <c r="B64" s="712" t="s">
        <v>42</v>
      </c>
      <c r="C64" s="1815" t="s">
        <v>529</v>
      </c>
      <c r="D64" s="1815"/>
      <c r="E64" s="1815"/>
      <c r="F64" s="1815"/>
      <c r="G64" s="722"/>
      <c r="H64" s="837"/>
      <c r="I64" s="840"/>
      <c r="J64" s="841"/>
      <c r="K64" s="1813">
        <f>'7. T2 TULOSSUUN.'!G18/1000</f>
        <v>0</v>
      </c>
      <c r="L64" s="1295">
        <f>'7. T2 TULOSSUUN.'!H18</f>
        <v>0</v>
      </c>
      <c r="M64" s="1813">
        <f>'7. T2 TULOSSUUN.'!I18/1000</f>
        <v>0</v>
      </c>
      <c r="N64" s="1295">
        <f>'7. T2 TULOSSUUN.'!J18</f>
        <v>0</v>
      </c>
      <c r="O64" s="1813">
        <f>'7. T2 TULOSSUUN.'!K18/1000</f>
        <v>0</v>
      </c>
      <c r="P64" s="1295">
        <f>'7. T2 TULOSSUUN.'!L18</f>
        <v>0</v>
      </c>
      <c r="Q64" s="1594">
        <f>'7. T2 TULOSSUUN.'!M18/1000</f>
        <v>0</v>
      </c>
      <c r="R64" s="1296">
        <f>'7. T2 TULOSSUUN.'!N18</f>
        <v>0</v>
      </c>
    </row>
    <row r="65" spans="2:18" ht="12" customHeight="1" x14ac:dyDescent="0.25">
      <c r="B65" s="712" t="s">
        <v>44</v>
      </c>
      <c r="C65" s="1815" t="s">
        <v>530</v>
      </c>
      <c r="D65" s="1815"/>
      <c r="E65" s="1815"/>
      <c r="F65" s="1815"/>
      <c r="G65" s="722"/>
      <c r="H65" s="837"/>
      <c r="I65" s="840"/>
      <c r="J65" s="841"/>
      <c r="K65" s="1813">
        <f>'7. T2 TULOSSUUN.'!G19/1000</f>
        <v>0</v>
      </c>
      <c r="L65" s="1295">
        <f>'7. T2 TULOSSUUN.'!H19</f>
        <v>0</v>
      </c>
      <c r="M65" s="1813">
        <f>'7. T2 TULOSSUUN.'!I19/1000</f>
        <v>0</v>
      </c>
      <c r="N65" s="1295">
        <f>'7. T2 TULOSSUUN.'!J19</f>
        <v>0</v>
      </c>
      <c r="O65" s="1813">
        <f>'7. T2 TULOSSUUN.'!K19/1000</f>
        <v>0</v>
      </c>
      <c r="P65" s="1295">
        <f>'7. T2 TULOSSUUN.'!L19</f>
        <v>0</v>
      </c>
      <c r="Q65" s="1594">
        <f>'7. T2 TULOSSUUN.'!M19/1000</f>
        <v>0</v>
      </c>
      <c r="R65" s="1296">
        <f>'7. T2 TULOSSUUN.'!N19</f>
        <v>0</v>
      </c>
    </row>
    <row r="66" spans="2:18" ht="12" customHeight="1" x14ac:dyDescent="0.25">
      <c r="B66" s="712" t="s">
        <v>46</v>
      </c>
      <c r="C66" s="715" t="s">
        <v>532</v>
      </c>
      <c r="D66" s="715"/>
      <c r="E66" s="715"/>
      <c r="F66" s="715"/>
      <c r="G66" s="723"/>
      <c r="H66" s="839"/>
      <c r="I66" s="842"/>
      <c r="J66" s="844"/>
      <c r="K66" s="1593">
        <f>'7. T2 TULOSSUUN.'!G20/1000</f>
        <v>0</v>
      </c>
      <c r="L66" s="1297">
        <f>'7. T2 TULOSSUUN.'!H20</f>
        <v>0</v>
      </c>
      <c r="M66" s="1593">
        <f>'7. T2 TULOSSUUN.'!I20/1000</f>
        <v>0</v>
      </c>
      <c r="N66" s="1297">
        <f>'7. T2 TULOSSUUN.'!J20</f>
        <v>0</v>
      </c>
      <c r="O66" s="1593">
        <f>'7. T2 TULOSSUUN.'!K20/1000</f>
        <v>0</v>
      </c>
      <c r="P66" s="1297">
        <f>'7. T2 TULOSSUUN.'!L20</f>
        <v>0</v>
      </c>
      <c r="Q66" s="1595">
        <f>'7. T2 TULOSSUUN.'!M20/1000</f>
        <v>0</v>
      </c>
      <c r="R66" s="1298">
        <f>'7. T2 TULOSSUUN.'!N20</f>
        <v>0</v>
      </c>
    </row>
    <row r="67" spans="2:18" ht="12" customHeight="1" x14ac:dyDescent="0.25">
      <c r="B67" s="712" t="s">
        <v>50</v>
      </c>
      <c r="C67" s="1815" t="s">
        <v>646</v>
      </c>
      <c r="D67" s="1815"/>
      <c r="E67" s="1815"/>
      <c r="F67" s="1815"/>
      <c r="G67" s="722"/>
      <c r="H67" s="837"/>
      <c r="I67" s="840"/>
      <c r="J67" s="841"/>
      <c r="K67" s="1813">
        <f>'7. T2 TULOSSUUN.'!G21/1000</f>
        <v>0</v>
      </c>
      <c r="L67" s="1295">
        <f>'7. T2 TULOSSUUN.'!H21</f>
        <v>0</v>
      </c>
      <c r="M67" s="1813">
        <f>'7. T2 TULOSSUUN.'!I21/1000</f>
        <v>0</v>
      </c>
      <c r="N67" s="1295">
        <f>'7. T2 TULOSSUUN.'!J21</f>
        <v>0</v>
      </c>
      <c r="O67" s="1813">
        <f>'7. T2 TULOSSUUN.'!K21/1000</f>
        <v>0</v>
      </c>
      <c r="P67" s="1295">
        <f>'7. T2 TULOSSUUN.'!L21</f>
        <v>0</v>
      </c>
      <c r="Q67" s="1594">
        <f>'7. T2 TULOSSUUN.'!M21/1000</f>
        <v>0</v>
      </c>
      <c r="R67" s="1296">
        <f>'7. T2 TULOSSUUN.'!N21</f>
        <v>0</v>
      </c>
    </row>
    <row r="68" spans="2:18" ht="12" customHeight="1" x14ac:dyDescent="0.25">
      <c r="B68" s="712" t="s">
        <v>54</v>
      </c>
      <c r="C68" s="715" t="s">
        <v>534</v>
      </c>
      <c r="D68" s="715"/>
      <c r="E68" s="715"/>
      <c r="F68" s="715"/>
      <c r="G68" s="723"/>
      <c r="H68" s="839"/>
      <c r="I68" s="842"/>
      <c r="J68" s="844"/>
      <c r="K68" s="1593">
        <f>'7. T2 TULOSSUUN.'!G22/1000</f>
        <v>0</v>
      </c>
      <c r="L68" s="1297">
        <f>'7. T2 TULOSSUUN.'!H22</f>
        <v>0</v>
      </c>
      <c r="M68" s="1593">
        <f>'7. T2 TULOSSUUN.'!I22/1000</f>
        <v>0</v>
      </c>
      <c r="N68" s="1297">
        <f>'7. T2 TULOSSUUN.'!J22</f>
        <v>0</v>
      </c>
      <c r="O68" s="1593">
        <f>'7. T2 TULOSSUUN.'!K22/1000</f>
        <v>0</v>
      </c>
      <c r="P68" s="1297">
        <f>'7. T2 TULOSSUUN.'!L22</f>
        <v>0</v>
      </c>
      <c r="Q68" s="1595">
        <f>'7. T2 TULOSSUUN.'!M22/1000</f>
        <v>0</v>
      </c>
      <c r="R68" s="1298">
        <f>'7. T2 TULOSSUUN.'!N22</f>
        <v>0</v>
      </c>
    </row>
    <row r="69" spans="2:18" ht="12" customHeight="1" x14ac:dyDescent="0.25">
      <c r="B69" s="712" t="s">
        <v>56</v>
      </c>
      <c r="C69" s="1815" t="s">
        <v>535</v>
      </c>
      <c r="D69" s="1815"/>
      <c r="E69" s="1815"/>
      <c r="F69" s="1815"/>
      <c r="G69" s="722"/>
      <c r="H69" s="837"/>
      <c r="I69" s="840"/>
      <c r="J69" s="841"/>
      <c r="K69" s="1813">
        <f>'7. T2 TULOSSUUN.'!G23/1000</f>
        <v>0</v>
      </c>
      <c r="L69" s="1295">
        <f>'7. T2 TULOSSUUN.'!H23</f>
        <v>0</v>
      </c>
      <c r="M69" s="1813">
        <f>'7. T2 TULOSSUUN.'!I23/1000</f>
        <v>0</v>
      </c>
      <c r="N69" s="1295">
        <f>'7. T2 TULOSSUUN.'!J23</f>
        <v>0</v>
      </c>
      <c r="O69" s="1813">
        <f>'7. T2 TULOSSUUN.'!K23/1000</f>
        <v>0</v>
      </c>
      <c r="P69" s="1295">
        <f>'7. T2 TULOSSUUN.'!L23</f>
        <v>0</v>
      </c>
      <c r="Q69" s="1594">
        <f>'7. T2 TULOSSUUN.'!M23/1000</f>
        <v>0</v>
      </c>
      <c r="R69" s="1296">
        <f>'7. T2 TULOSSUUN.'!N23</f>
        <v>0</v>
      </c>
    </row>
    <row r="70" spans="2:18" ht="12" customHeight="1" x14ac:dyDescent="0.25">
      <c r="B70" s="712" t="s">
        <v>58</v>
      </c>
      <c r="C70" s="714" t="s">
        <v>536</v>
      </c>
      <c r="D70" s="714"/>
      <c r="E70" s="714"/>
      <c r="F70" s="714"/>
      <c r="G70" s="722"/>
      <c r="H70" s="837"/>
      <c r="I70" s="840"/>
      <c r="J70" s="841"/>
      <c r="K70" s="1813">
        <f>'7. T2 TULOSSUUN.'!G24/1000</f>
        <v>0</v>
      </c>
      <c r="L70" s="1295">
        <f>'7. T2 TULOSSUUN.'!H24</f>
        <v>0</v>
      </c>
      <c r="M70" s="1813">
        <f>'7. T2 TULOSSUUN.'!I24/1000</f>
        <v>0</v>
      </c>
      <c r="N70" s="1295">
        <f>'7. T2 TULOSSUUN.'!J24</f>
        <v>0</v>
      </c>
      <c r="O70" s="1813">
        <f>'7. T2 TULOSSUUN.'!K24/1000</f>
        <v>0</v>
      </c>
      <c r="P70" s="1295">
        <f>'7. T2 TULOSSUUN.'!L24</f>
        <v>0</v>
      </c>
      <c r="Q70" s="1594">
        <f>'7. T2 TULOSSUUN.'!M24/1000</f>
        <v>0</v>
      </c>
      <c r="R70" s="1296">
        <f>'7. T2 TULOSSUUN.'!N24</f>
        <v>0</v>
      </c>
    </row>
    <row r="71" spans="2:18" ht="12" customHeight="1" x14ac:dyDescent="0.25">
      <c r="B71" s="712" t="s">
        <v>66</v>
      </c>
      <c r="C71" s="714" t="s">
        <v>537</v>
      </c>
      <c r="D71" s="714"/>
      <c r="E71" s="714"/>
      <c r="F71" s="714"/>
      <c r="G71" s="722"/>
      <c r="H71" s="837"/>
      <c r="I71" s="840"/>
      <c r="J71" s="841"/>
      <c r="K71" s="1813">
        <f>'7. T2 TULOSSUUN.'!G25/1000</f>
        <v>0</v>
      </c>
      <c r="L71" s="1295">
        <f>'7. T2 TULOSSUUN.'!H25</f>
        <v>0</v>
      </c>
      <c r="M71" s="1813">
        <f>'7. T2 TULOSSUUN.'!I25/1000</f>
        <v>0</v>
      </c>
      <c r="N71" s="1295">
        <f>'7. T2 TULOSSUUN.'!J25</f>
        <v>0</v>
      </c>
      <c r="O71" s="1813">
        <f>'7. T2 TULOSSUUN.'!K25/1000</f>
        <v>0</v>
      </c>
      <c r="P71" s="1295">
        <f>'7. T2 TULOSSUUN.'!L25</f>
        <v>0</v>
      </c>
      <c r="Q71" s="1594">
        <f>'7. T2 TULOSSUUN.'!M25/1000</f>
        <v>0</v>
      </c>
      <c r="R71" s="1296">
        <f>'7. T2 TULOSSUUN.'!N25</f>
        <v>0</v>
      </c>
    </row>
    <row r="72" spans="2:18" ht="12" customHeight="1" x14ac:dyDescent="0.25">
      <c r="B72" s="712" t="s">
        <v>68</v>
      </c>
      <c r="C72" s="715" t="s">
        <v>538</v>
      </c>
      <c r="D72" s="715"/>
      <c r="E72" s="715"/>
      <c r="F72" s="715"/>
      <c r="G72" s="723"/>
      <c r="H72" s="839"/>
      <c r="I72" s="842"/>
      <c r="J72" s="844"/>
      <c r="K72" s="1593">
        <f>'7. T2 TULOSSUUN.'!G26/1000</f>
        <v>0</v>
      </c>
      <c r="L72" s="1297">
        <f>'7. T2 TULOSSUUN.'!H26</f>
        <v>0</v>
      </c>
      <c r="M72" s="1593">
        <f>'7. T2 TULOSSUUN.'!I26/1000</f>
        <v>0</v>
      </c>
      <c r="N72" s="1297">
        <f>'7. T2 TULOSSUUN.'!J26</f>
        <v>0</v>
      </c>
      <c r="O72" s="1593">
        <f>'7. T2 TULOSSUUN.'!K26/1000</f>
        <v>0</v>
      </c>
      <c r="P72" s="1297">
        <f>'7. T2 TULOSSUUN.'!L26</f>
        <v>0</v>
      </c>
      <c r="Q72" s="1595">
        <f>'7. T2 TULOSSUUN.'!M26/1000</f>
        <v>0</v>
      </c>
      <c r="R72" s="1298">
        <f>'7. T2 TULOSSUUN.'!N26</f>
        <v>0</v>
      </c>
    </row>
    <row r="73" spans="2:18" ht="12" customHeight="1" x14ac:dyDescent="0.25">
      <c r="B73" s="712" t="s">
        <v>71</v>
      </c>
      <c r="C73" s="714" t="s">
        <v>539</v>
      </c>
      <c r="D73" s="714"/>
      <c r="E73" s="714"/>
      <c r="F73" s="714"/>
      <c r="G73" s="722"/>
      <c r="H73" s="837"/>
      <c r="I73" s="840"/>
      <c r="J73" s="841"/>
      <c r="K73" s="1813">
        <f>'7. T2 TULOSSUUN.'!G27/1000</f>
        <v>0</v>
      </c>
      <c r="L73" s="1295">
        <f>'7. T2 TULOSSUUN.'!H27</f>
        <v>0</v>
      </c>
      <c r="M73" s="1813">
        <f>'7. T2 TULOSSUUN.'!I27/1000</f>
        <v>0</v>
      </c>
      <c r="N73" s="1295">
        <f>'7. T2 TULOSSUUN.'!J27</f>
        <v>0</v>
      </c>
      <c r="O73" s="1813">
        <f>'7. T2 TULOSSUUN.'!K27/1000</f>
        <v>0</v>
      </c>
      <c r="P73" s="1295">
        <f>'7. T2 TULOSSUUN.'!L27</f>
        <v>0</v>
      </c>
      <c r="Q73" s="1594">
        <f>'7. T2 TULOSSUUN.'!M27/1000</f>
        <v>0</v>
      </c>
      <c r="R73" s="1296">
        <f>'7. T2 TULOSSUUN.'!N27</f>
        <v>0</v>
      </c>
    </row>
    <row r="74" spans="2:18" ht="12" customHeight="1" x14ac:dyDescent="0.25">
      <c r="B74" s="712" t="s">
        <v>74</v>
      </c>
      <c r="C74" s="714" t="s">
        <v>541</v>
      </c>
      <c r="D74" s="714"/>
      <c r="E74" s="714"/>
      <c r="F74" s="714"/>
      <c r="G74" s="722"/>
      <c r="H74" s="837"/>
      <c r="I74" s="840"/>
      <c r="J74" s="841"/>
      <c r="K74" s="1813">
        <f>'7. T2 TULOSSUUN.'!G29/1000</f>
        <v>0</v>
      </c>
      <c r="L74" s="1295">
        <f>'7. T2 TULOSSUUN.'!H28</f>
        <v>0</v>
      </c>
      <c r="M74" s="1813">
        <f>'7. T2 TULOSSUUN.'!I29/1000</f>
        <v>0</v>
      </c>
      <c r="N74" s="1295">
        <f>'7. T2 TULOSSUUN.'!J28</f>
        <v>0</v>
      </c>
      <c r="O74" s="1813">
        <f>'7. T2 TULOSSUUN.'!K29/1000</f>
        <v>0</v>
      </c>
      <c r="P74" s="1295">
        <f>'7. T2 TULOSSUUN.'!L28</f>
        <v>0</v>
      </c>
      <c r="Q74" s="1594">
        <f>'7. T2 TULOSSUUN.'!M29/1000</f>
        <v>0</v>
      </c>
      <c r="R74" s="1296">
        <f>'7. T2 TULOSSUUN.'!N28</f>
        <v>0</v>
      </c>
    </row>
    <row r="75" spans="2:18" ht="12" customHeight="1" x14ac:dyDescent="0.25">
      <c r="B75" s="712" t="s">
        <v>76</v>
      </c>
      <c r="C75" s="714" t="s">
        <v>542</v>
      </c>
      <c r="D75" s="714"/>
      <c r="E75" s="714"/>
      <c r="F75" s="714"/>
      <c r="G75" s="722"/>
      <c r="H75" s="837"/>
      <c r="I75" s="840"/>
      <c r="J75" s="841"/>
      <c r="K75" s="1813">
        <f>'7. T2 TULOSSUUN.'!G30/1000</f>
        <v>0</v>
      </c>
      <c r="L75" s="1295">
        <f>'7. T2 TULOSSUUN.'!H29</f>
        <v>0</v>
      </c>
      <c r="M75" s="1813">
        <f>'7. T2 TULOSSUUN.'!I30/1000</f>
        <v>0</v>
      </c>
      <c r="N75" s="1295">
        <f>'7. T2 TULOSSUUN.'!J29</f>
        <v>0</v>
      </c>
      <c r="O75" s="1813">
        <f>'7. T2 TULOSSUUN.'!K30/1000</f>
        <v>0</v>
      </c>
      <c r="P75" s="1295">
        <f>'7. T2 TULOSSUUN.'!L29</f>
        <v>0</v>
      </c>
      <c r="Q75" s="1594">
        <f>'7. T2 TULOSSUUN.'!M30/1000</f>
        <v>0</v>
      </c>
      <c r="R75" s="1296">
        <f>'7. T2 TULOSSUUN.'!N29</f>
        <v>0</v>
      </c>
    </row>
    <row r="76" spans="2:18" ht="12" customHeight="1" x14ac:dyDescent="0.25">
      <c r="B76" s="725" t="s">
        <v>78</v>
      </c>
      <c r="C76" s="699" t="s">
        <v>543</v>
      </c>
      <c r="D76" s="699"/>
      <c r="E76" s="699"/>
      <c r="F76" s="699"/>
      <c r="G76" s="1633"/>
      <c r="H76" s="1634"/>
      <c r="I76" s="1635"/>
      <c r="J76" s="1636"/>
      <c r="K76" s="1593">
        <f>'7. T2 TULOSSUUN.'!G31/1000</f>
        <v>0</v>
      </c>
      <c r="L76" s="1297">
        <f>'7. T2 TULOSSUUN.'!H31</f>
        <v>0</v>
      </c>
      <c r="M76" s="1593">
        <f>'7. T2 TULOSSUUN.'!I31/1000</f>
        <v>0</v>
      </c>
      <c r="N76" s="1297">
        <f>'7. T2 TULOSSUUN.'!J31</f>
        <v>0</v>
      </c>
      <c r="O76" s="1593">
        <f>'7. T2 TULOSSUUN.'!K31/1000</f>
        <v>0</v>
      </c>
      <c r="P76" s="1297">
        <f>'7. T2 TULOSSUUN.'!L31</f>
        <v>0</v>
      </c>
      <c r="Q76" s="1595">
        <f>'7. T2 TULOSSUUN.'!M31/1000</f>
        <v>0</v>
      </c>
      <c r="R76" s="1298">
        <f>'7. T2 TULOSSUUN.'!N31</f>
        <v>0</v>
      </c>
    </row>
    <row r="77" spans="2:18" ht="12" customHeight="1" x14ac:dyDescent="0.25">
      <c r="B77" s="725"/>
      <c r="C77" s="724" t="s">
        <v>544</v>
      </c>
      <c r="D77" s="724"/>
      <c r="E77" s="724"/>
      <c r="F77" s="724"/>
      <c r="G77" s="2251"/>
      <c r="H77" s="2251"/>
      <c r="I77" s="2252"/>
      <c r="J77" s="2252"/>
      <c r="K77" s="2253">
        <f>'7. T2 TULOSSUUN.'!G33</f>
        <v>1</v>
      </c>
      <c r="L77" s="2254"/>
      <c r="M77" s="2253">
        <f>'7. T2 TULOSSUUN.'!I33</f>
        <v>1</v>
      </c>
      <c r="N77" s="2254"/>
      <c r="O77" s="2253">
        <f>'7. T2 TULOSSUUN.'!K33</f>
        <v>1</v>
      </c>
      <c r="P77" s="2254"/>
      <c r="Q77" s="2255">
        <f>'7. T2 TULOSSUUN.'!M33</f>
        <v>1</v>
      </c>
      <c r="R77" s="2256"/>
    </row>
    <row r="78" spans="2:18" ht="12" customHeight="1" x14ac:dyDescent="0.25">
      <c r="B78" s="725"/>
      <c r="C78" s="724" t="s">
        <v>647</v>
      </c>
      <c r="D78" s="724"/>
      <c r="E78" s="724"/>
      <c r="F78" s="724"/>
      <c r="G78" s="2236"/>
      <c r="H78" s="2236"/>
      <c r="I78" s="2257"/>
      <c r="J78" s="2257"/>
      <c r="K78" s="2249">
        <f>'5. T4 RAHOITUSSUUN.'!Q14</f>
        <v>0</v>
      </c>
      <c r="L78" s="2250"/>
      <c r="M78" s="2249">
        <f>'5. T4 RAHOITUSSUUN.'!R14</f>
        <v>0</v>
      </c>
      <c r="N78" s="2250"/>
      <c r="O78" s="2249">
        <f>'5. T4 RAHOITUSSUUN.'!S14</f>
        <v>0</v>
      </c>
      <c r="P78" s="2250"/>
      <c r="Q78" s="2249">
        <f>'5. T4 RAHOITUSSUUN.'!T14</f>
        <v>0</v>
      </c>
      <c r="R78" s="2250"/>
    </row>
    <row r="79" spans="2:18" ht="12" customHeight="1" x14ac:dyDescent="0.25">
      <c r="B79" s="114"/>
      <c r="C79" s="120"/>
      <c r="D79" s="120"/>
      <c r="E79" s="120"/>
      <c r="F79" s="120"/>
      <c r="G79" s="1810"/>
      <c r="H79" s="1810"/>
      <c r="I79" s="836"/>
      <c r="J79" s="836"/>
      <c r="K79" s="1810"/>
      <c r="L79" s="1810"/>
      <c r="M79" s="1810"/>
      <c r="N79" s="1810"/>
      <c r="O79" s="1810"/>
      <c r="P79" s="1810"/>
      <c r="Q79" s="1810"/>
      <c r="R79" s="1810"/>
    </row>
    <row r="80" spans="2:18" ht="12" customHeight="1" x14ac:dyDescent="0.25">
      <c r="B80" s="220" t="str">
        <f>OHJE!F6</f>
        <v>Palvelun tarjoavat</v>
      </c>
      <c r="C80" s="432"/>
      <c r="D80" s="432"/>
      <c r="E80" s="432"/>
      <c r="F80" s="432"/>
      <c r="G80" s="433"/>
      <c r="H80" s="433"/>
      <c r="I80" s="433"/>
      <c r="J80" s="433"/>
      <c r="K80" s="433"/>
      <c r="L80" s="433"/>
      <c r="M80" s="433"/>
      <c r="N80" s="433"/>
      <c r="O80" s="433"/>
      <c r="P80" s="433"/>
      <c r="Q80" s="433"/>
      <c r="R80" s="741"/>
    </row>
    <row r="81" spans="2:18" x14ac:dyDescent="0.25">
      <c r="B81" s="2215" t="str">
        <f>OHJE!G8</f>
        <v>Iisalmi, Lapinlahti, Sonkajärvi, Vieremä</v>
      </c>
      <c r="C81" s="2215"/>
      <c r="D81" s="2215"/>
      <c r="E81" s="2215"/>
      <c r="F81" s="2215"/>
      <c r="G81" s="2215"/>
      <c r="H81" s="2215"/>
      <c r="I81" s="2215"/>
      <c r="J81" s="2215"/>
      <c r="K81" s="2215"/>
      <c r="L81" s="2215"/>
      <c r="M81" s="2215"/>
      <c r="N81" s="743"/>
      <c r="O81" s="743"/>
      <c r="P81" s="743"/>
      <c r="Q81" s="435"/>
      <c r="R81" s="76" t="s">
        <v>5</v>
      </c>
    </row>
    <row r="82" spans="2:18" ht="12.45" customHeight="1" x14ac:dyDescent="0.25">
      <c r="B82" s="2216" t="s">
        <v>648</v>
      </c>
      <c r="C82" s="2216"/>
      <c r="D82" s="2216"/>
      <c r="E82" s="2216"/>
      <c r="F82" s="2216"/>
      <c r="G82" s="2216"/>
      <c r="H82" s="2216"/>
      <c r="I82" s="2216"/>
      <c r="J82" s="2216"/>
      <c r="K82" s="113"/>
      <c r="M82" s="2386"/>
      <c r="N82" s="2387"/>
      <c r="O82" s="113"/>
      <c r="P82" s="113"/>
      <c r="Q82" s="113"/>
      <c r="R82" s="113"/>
    </row>
    <row r="83" spans="2:18" ht="12.45" customHeight="1" x14ac:dyDescent="0.25">
      <c r="B83" s="1626"/>
      <c r="C83" s="1626"/>
      <c r="D83" s="664"/>
      <c r="E83" s="664"/>
      <c r="F83" s="1627"/>
      <c r="G83" s="1822"/>
      <c r="H83" s="1822"/>
      <c r="I83" s="1822"/>
      <c r="J83" s="1822"/>
      <c r="K83" s="1822"/>
      <c r="M83" s="2258">
        <f>L3</f>
        <v>0</v>
      </c>
      <c r="N83" s="2258"/>
      <c r="O83" s="113"/>
      <c r="P83" s="113"/>
      <c r="Q83" s="113"/>
      <c r="R83" s="113"/>
    </row>
    <row r="84" spans="2:18" x14ac:dyDescent="0.25">
      <c r="B84" s="2217">
        <f>B7</f>
        <v>0</v>
      </c>
      <c r="C84" s="2217"/>
      <c r="D84" s="2217"/>
      <c r="E84" s="2217"/>
      <c r="F84" s="2217"/>
      <c r="G84" s="2217"/>
      <c r="H84" s="2217"/>
      <c r="I84" s="2217"/>
      <c r="J84" s="2217"/>
      <c r="K84" s="2217"/>
      <c r="L84" s="2217"/>
      <c r="M84" s="1814"/>
      <c r="N84" s="1814"/>
      <c r="O84" s="113"/>
      <c r="P84" s="113"/>
      <c r="Q84" s="113"/>
      <c r="R84" s="113"/>
    </row>
    <row r="85" spans="2:18" ht="11.7" customHeight="1" x14ac:dyDescent="0.25"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113"/>
    </row>
    <row r="86" spans="2:18" ht="10.5" customHeight="1" x14ac:dyDescent="0.25">
      <c r="B86" s="2271" t="s">
        <v>649</v>
      </c>
      <c r="C86" s="2272"/>
      <c r="D86" s="2272"/>
      <c r="E86" s="2272"/>
      <c r="F86" s="1831"/>
      <c r="G86" s="2259"/>
      <c r="H86" s="2260"/>
      <c r="I86" s="2259"/>
      <c r="J86" s="2260"/>
      <c r="K86" s="2261" t="s">
        <v>19</v>
      </c>
      <c r="L86" s="2261"/>
      <c r="M86" s="2261" t="s">
        <v>20</v>
      </c>
      <c r="N86" s="2261"/>
      <c r="O86" s="2388" t="s">
        <v>21</v>
      </c>
      <c r="P86" s="2389"/>
      <c r="Q86" s="2261" t="s">
        <v>22</v>
      </c>
      <c r="R86" s="2390"/>
    </row>
    <row r="87" spans="2:18" ht="10.5" customHeight="1" x14ac:dyDescent="0.25">
      <c r="B87" s="2273"/>
      <c r="C87" s="2274"/>
      <c r="D87" s="2274"/>
      <c r="E87" s="2274"/>
      <c r="F87" s="1492"/>
      <c r="G87" s="2391"/>
      <c r="H87" s="2392"/>
      <c r="I87" s="2391"/>
      <c r="J87" s="2392"/>
      <c r="K87" s="2393">
        <f>'6. T3 TASE'!G11</f>
        <v>2024</v>
      </c>
      <c r="L87" s="2394"/>
      <c r="M87" s="2393">
        <f>'6. T3 TASE'!H11</f>
        <v>2025</v>
      </c>
      <c r="N87" s="2394"/>
      <c r="O87" s="2395">
        <f>'6. T3 TASE'!I11</f>
        <v>2026</v>
      </c>
      <c r="P87" s="2396"/>
      <c r="Q87" s="2397">
        <f>'6. T3 TASE'!J11</f>
        <v>2027</v>
      </c>
      <c r="R87" s="2398"/>
    </row>
    <row r="88" spans="2:18" ht="12" customHeight="1" x14ac:dyDescent="0.25">
      <c r="B88" s="850" t="s">
        <v>450</v>
      </c>
      <c r="C88" s="459" t="s">
        <v>451</v>
      </c>
      <c r="D88" s="459"/>
      <c r="E88" s="459"/>
      <c r="F88" s="459"/>
      <c r="G88" s="2238"/>
      <c r="H88" s="2239"/>
      <c r="I88" s="2238"/>
      <c r="J88" s="2384"/>
      <c r="K88" s="2385">
        <f>'6. T3 TASE'!G13/1000</f>
        <v>0</v>
      </c>
      <c r="L88" s="2385"/>
      <c r="M88" s="2385">
        <f>'6. T3 TASE'!H13/1000</f>
        <v>0</v>
      </c>
      <c r="N88" s="2385"/>
      <c r="O88" s="2385">
        <f>'6. T3 TASE'!I13/1000</f>
        <v>0</v>
      </c>
      <c r="P88" s="2385"/>
      <c r="Q88" s="2385">
        <f>'6. T3 TASE'!J13/1000</f>
        <v>0</v>
      </c>
      <c r="R88" s="2385"/>
    </row>
    <row r="89" spans="2:18" ht="12" customHeight="1" x14ac:dyDescent="0.25">
      <c r="B89" s="851" t="s">
        <v>650</v>
      </c>
      <c r="C89" s="706" t="s">
        <v>453</v>
      </c>
      <c r="D89" s="706"/>
      <c r="E89" s="706"/>
      <c r="F89" s="706"/>
      <c r="G89" s="2237"/>
      <c r="H89" s="2237"/>
      <c r="I89" s="2280"/>
      <c r="J89" s="2281"/>
      <c r="K89" s="2282">
        <f>'6. T3 TASE'!G14/1000</f>
        <v>0</v>
      </c>
      <c r="L89" s="2282"/>
      <c r="M89" s="2282">
        <f>'6. T3 TASE'!H14/1000</f>
        <v>0</v>
      </c>
      <c r="N89" s="2282"/>
      <c r="O89" s="2282">
        <f>'6. T3 TASE'!I14/1000</f>
        <v>0</v>
      </c>
      <c r="P89" s="2282"/>
      <c r="Q89" s="2282">
        <f>'6. T3 TASE'!J14/1000</f>
        <v>0</v>
      </c>
      <c r="R89" s="2283"/>
    </row>
    <row r="90" spans="2:18" ht="12" customHeight="1" x14ac:dyDescent="0.25">
      <c r="B90" s="851" t="s">
        <v>651</v>
      </c>
      <c r="C90" s="706" t="s">
        <v>460</v>
      </c>
      <c r="D90" s="706"/>
      <c r="E90" s="706"/>
      <c r="F90" s="706"/>
      <c r="G90" s="2237"/>
      <c r="H90" s="2237"/>
      <c r="I90" s="2280"/>
      <c r="J90" s="2281"/>
      <c r="K90" s="2282">
        <f>'6. T3 TASE'!G18/1000</f>
        <v>0</v>
      </c>
      <c r="L90" s="2282"/>
      <c r="M90" s="2282">
        <f>'6. T3 TASE'!H18/1000</f>
        <v>0</v>
      </c>
      <c r="N90" s="2282"/>
      <c r="O90" s="2282">
        <f>'6. T3 TASE'!I18/1000</f>
        <v>0</v>
      </c>
      <c r="P90" s="2282"/>
      <c r="Q90" s="2282">
        <f>'6. T3 TASE'!J18/1000</f>
        <v>0</v>
      </c>
      <c r="R90" s="2283"/>
    </row>
    <row r="91" spans="2:18" ht="12" customHeight="1" x14ac:dyDescent="0.25">
      <c r="B91" s="851"/>
      <c r="C91" s="707" t="s">
        <v>652</v>
      </c>
      <c r="D91" s="707"/>
      <c r="E91" s="707"/>
      <c r="F91" s="707"/>
      <c r="G91" s="2270"/>
      <c r="H91" s="2270"/>
      <c r="I91" s="2284"/>
      <c r="J91" s="2285"/>
      <c r="K91" s="2264">
        <f>'6. T3 TASE'!G19/1000</f>
        <v>0</v>
      </c>
      <c r="L91" s="2264"/>
      <c r="M91" s="2264">
        <f>'6. T3 TASE'!H19/1000</f>
        <v>0</v>
      </c>
      <c r="N91" s="2264"/>
      <c r="O91" s="2264">
        <f>'6. T3 TASE'!I19/1000</f>
        <v>0</v>
      </c>
      <c r="P91" s="2264"/>
      <c r="Q91" s="2264">
        <f>'6. T3 TASE'!J19/1000</f>
        <v>0</v>
      </c>
      <c r="R91" s="2265"/>
    </row>
    <row r="92" spans="2:18" ht="12" customHeight="1" x14ac:dyDescent="0.25">
      <c r="B92" s="851"/>
      <c r="C92" s="707" t="s">
        <v>462</v>
      </c>
      <c r="D92" s="707"/>
      <c r="E92" s="707"/>
      <c r="F92" s="707"/>
      <c r="G92" s="2270"/>
      <c r="H92" s="2270"/>
      <c r="I92" s="2284"/>
      <c r="J92" s="2285"/>
      <c r="K92" s="2264">
        <f>'6. T3 TASE'!G22/1000</f>
        <v>0</v>
      </c>
      <c r="L92" s="2264"/>
      <c r="M92" s="2264">
        <f>'6. T3 TASE'!H22/1000</f>
        <v>0</v>
      </c>
      <c r="N92" s="2264"/>
      <c r="O92" s="2264">
        <f>'6. T3 TASE'!I22/1000</f>
        <v>0</v>
      </c>
      <c r="P92" s="2264"/>
      <c r="Q92" s="2264">
        <f>'6. T3 TASE'!J22/1000</f>
        <v>0</v>
      </c>
      <c r="R92" s="2265"/>
    </row>
    <row r="93" spans="2:18" ht="12" customHeight="1" x14ac:dyDescent="0.25">
      <c r="B93" s="851"/>
      <c r="C93" s="707" t="s">
        <v>463</v>
      </c>
      <c r="D93" s="707"/>
      <c r="E93" s="707"/>
      <c r="F93" s="707"/>
      <c r="G93" s="2270"/>
      <c r="H93" s="2270"/>
      <c r="I93" s="2284"/>
      <c r="J93" s="2285"/>
      <c r="K93" s="2264">
        <f>'6. T3 TASE'!G26/1000</f>
        <v>0</v>
      </c>
      <c r="L93" s="2264"/>
      <c r="M93" s="2264">
        <f>'6. T3 TASE'!H26/1000</f>
        <v>0</v>
      </c>
      <c r="N93" s="2264"/>
      <c r="O93" s="2264">
        <f>'6. T3 TASE'!I26/1000</f>
        <v>0</v>
      </c>
      <c r="P93" s="2264"/>
      <c r="Q93" s="2264">
        <f>'6. T3 TASE'!J26/1000</f>
        <v>0</v>
      </c>
      <c r="R93" s="2265"/>
    </row>
    <row r="94" spans="2:18" ht="12" customHeight="1" x14ac:dyDescent="0.25">
      <c r="B94" s="851"/>
      <c r="C94" s="707" t="s">
        <v>464</v>
      </c>
      <c r="D94" s="707"/>
      <c r="E94" s="707"/>
      <c r="F94" s="707"/>
      <c r="G94" s="2270"/>
      <c r="H94" s="2270"/>
      <c r="I94" s="2284"/>
      <c r="J94" s="2285"/>
      <c r="K94" s="2264">
        <f>'6. T3 TASE'!G30/1000</f>
        <v>0</v>
      </c>
      <c r="L94" s="2264"/>
      <c r="M94" s="2264">
        <f>'6. T3 TASE'!H30/1000</f>
        <v>0</v>
      </c>
      <c r="N94" s="2264"/>
      <c r="O94" s="2264">
        <f>'6. T3 TASE'!I30/1000</f>
        <v>0</v>
      </c>
      <c r="P94" s="2264"/>
      <c r="Q94" s="2264">
        <f>'6. T3 TASE'!J30/1000</f>
        <v>0</v>
      </c>
      <c r="R94" s="2265"/>
    </row>
    <row r="95" spans="2:18" ht="12" customHeight="1" x14ac:dyDescent="0.25">
      <c r="B95" s="851" t="s">
        <v>653</v>
      </c>
      <c r="C95" s="706" t="s">
        <v>390</v>
      </c>
      <c r="D95" s="706"/>
      <c r="E95" s="706"/>
      <c r="F95" s="706"/>
      <c r="G95" s="2237"/>
      <c r="H95" s="2237"/>
      <c r="I95" s="2280"/>
      <c r="J95" s="2281"/>
      <c r="K95" s="2282">
        <f>'6. T3 TASE'!G34/1000</f>
        <v>0</v>
      </c>
      <c r="L95" s="2282"/>
      <c r="M95" s="2282">
        <f>'6. T3 TASE'!H34/1000</f>
        <v>0</v>
      </c>
      <c r="N95" s="2282"/>
      <c r="O95" s="2282">
        <f>'6. T3 TASE'!I34/1000</f>
        <v>0</v>
      </c>
      <c r="P95" s="2282"/>
      <c r="Q95" s="2282">
        <f>'6. T3 TASE'!J34/1000</f>
        <v>0</v>
      </c>
      <c r="R95" s="2283"/>
    </row>
    <row r="96" spans="2:18" ht="12" customHeight="1" x14ac:dyDescent="0.25">
      <c r="B96" s="850" t="s">
        <v>466</v>
      </c>
      <c r="C96" s="706" t="s">
        <v>467</v>
      </c>
      <c r="D96" s="706"/>
      <c r="E96" s="706"/>
      <c r="F96" s="706"/>
      <c r="G96" s="2237"/>
      <c r="H96" s="2237"/>
      <c r="I96" s="2280"/>
      <c r="J96" s="2281"/>
      <c r="K96" s="2282">
        <f>'6. T3 TASE'!G38/1000</f>
        <v>0</v>
      </c>
      <c r="L96" s="2282"/>
      <c r="M96" s="2282">
        <f>'6. T3 TASE'!H38/1000</f>
        <v>0</v>
      </c>
      <c r="N96" s="2282"/>
      <c r="O96" s="2282">
        <f>'6. T3 TASE'!I38/1000</f>
        <v>0</v>
      </c>
      <c r="P96" s="2282"/>
      <c r="Q96" s="2282">
        <f>'6. T3 TASE'!J38/1000</f>
        <v>0</v>
      </c>
      <c r="R96" s="2283"/>
    </row>
    <row r="97" spans="2:18" ht="12" customHeight="1" x14ac:dyDescent="0.25">
      <c r="B97" s="850" t="s">
        <v>654</v>
      </c>
      <c r="C97" s="706" t="s">
        <v>405</v>
      </c>
      <c r="D97" s="706"/>
      <c r="E97" s="706"/>
      <c r="F97" s="706"/>
      <c r="G97" s="2237"/>
      <c r="H97" s="2237"/>
      <c r="I97" s="2280"/>
      <c r="J97" s="2281"/>
      <c r="K97" s="2282">
        <f>'6. T3 TASE'!G39/1000</f>
        <v>0</v>
      </c>
      <c r="L97" s="2282"/>
      <c r="M97" s="2282">
        <f>'6. T3 TASE'!H39/1000</f>
        <v>0</v>
      </c>
      <c r="N97" s="2282"/>
      <c r="O97" s="2282">
        <f>'6. T3 TASE'!I39/1000</f>
        <v>0</v>
      </c>
      <c r="P97" s="2282"/>
      <c r="Q97" s="2282">
        <f>'6. T3 TASE'!J39/1000</f>
        <v>0</v>
      </c>
      <c r="R97" s="2283"/>
    </row>
    <row r="98" spans="2:18" ht="12" customHeight="1" x14ac:dyDescent="0.25">
      <c r="B98" s="852"/>
      <c r="C98" s="2228" t="s">
        <v>407</v>
      </c>
      <c r="D98" s="2228"/>
      <c r="E98" s="2228"/>
      <c r="F98" s="2228"/>
      <c r="G98" s="2228"/>
      <c r="H98" s="2228"/>
      <c r="I98" s="2228"/>
      <c r="J98" s="2229"/>
      <c r="K98" s="2399">
        <f>'6. T3 TASE'!G40</f>
        <v>0</v>
      </c>
      <c r="L98" s="2399"/>
      <c r="M98" s="2399">
        <f>'6. T3 TASE'!H40</f>
        <v>0</v>
      </c>
      <c r="N98" s="2399"/>
      <c r="O98" s="2399">
        <f>'6. T3 TASE'!I40</f>
        <v>0</v>
      </c>
      <c r="P98" s="2399"/>
      <c r="Q98" s="2399">
        <f>'6. T3 TASE'!J40</f>
        <v>0</v>
      </c>
      <c r="R98" s="2400"/>
    </row>
    <row r="99" spans="2:18" ht="12" customHeight="1" x14ac:dyDescent="0.25">
      <c r="B99" s="851" t="s">
        <v>651</v>
      </c>
      <c r="C99" s="706" t="s">
        <v>469</v>
      </c>
      <c r="D99" s="706"/>
      <c r="E99" s="706"/>
      <c r="F99" s="706"/>
      <c r="G99" s="2237"/>
      <c r="H99" s="2237"/>
      <c r="I99" s="2280"/>
      <c r="J99" s="2281"/>
      <c r="K99" s="2282">
        <f>'6. T3 TASE'!G41/1000</f>
        <v>0</v>
      </c>
      <c r="L99" s="2282"/>
      <c r="M99" s="2282">
        <f>'6. T3 TASE'!H41/1000</f>
        <v>0</v>
      </c>
      <c r="N99" s="2282"/>
      <c r="O99" s="2282">
        <f>'6. T3 TASE'!I41/1000</f>
        <v>0</v>
      </c>
      <c r="P99" s="2282"/>
      <c r="Q99" s="2282">
        <f>'6. T3 TASE'!J41/1000</f>
        <v>0</v>
      </c>
      <c r="R99" s="2283"/>
    </row>
    <row r="100" spans="2:18" ht="12" customHeight="1" x14ac:dyDescent="0.25">
      <c r="B100" s="851" t="s">
        <v>3</v>
      </c>
      <c r="C100" s="707" t="s">
        <v>470</v>
      </c>
      <c r="D100" s="707"/>
      <c r="E100" s="707"/>
      <c r="F100" s="707"/>
      <c r="G100" s="2270"/>
      <c r="H100" s="2270"/>
      <c r="I100" s="2284"/>
      <c r="J100" s="2285"/>
      <c r="K100" s="2264">
        <f>'6. T3 TASE'!G42/1000</f>
        <v>0</v>
      </c>
      <c r="L100" s="2264"/>
      <c r="M100" s="2264">
        <f>'6. T3 TASE'!H42/1000</f>
        <v>0</v>
      </c>
      <c r="N100" s="2264"/>
      <c r="O100" s="2264">
        <f>'6. T3 TASE'!I42/1000</f>
        <v>0</v>
      </c>
      <c r="P100" s="2264"/>
      <c r="Q100" s="2264">
        <f>'6. T3 TASE'!J42/1000</f>
        <v>0</v>
      </c>
      <c r="R100" s="2265"/>
    </row>
    <row r="101" spans="2:18" ht="12" customHeight="1" x14ac:dyDescent="0.25">
      <c r="B101" s="851"/>
      <c r="C101" s="2292" t="s">
        <v>655</v>
      </c>
      <c r="D101" s="2292"/>
      <c r="E101" s="815"/>
      <c r="F101" s="815"/>
      <c r="G101" s="2279"/>
      <c r="H101" s="2279"/>
      <c r="I101" s="2275"/>
      <c r="J101" s="2276"/>
      <c r="K101" s="2277">
        <f>'6. T3 TASE'!G43</f>
        <v>14</v>
      </c>
      <c r="L101" s="2277"/>
      <c r="M101" s="2277">
        <f>'6. T3 TASE'!H43</f>
        <v>14</v>
      </c>
      <c r="N101" s="2277"/>
      <c r="O101" s="2277">
        <f>'6. T3 TASE'!I43</f>
        <v>14</v>
      </c>
      <c r="P101" s="2277"/>
      <c r="Q101" s="2277">
        <f>'6. T3 TASE'!J43</f>
        <v>14</v>
      </c>
      <c r="R101" s="2278"/>
    </row>
    <row r="102" spans="2:18" ht="12" customHeight="1" x14ac:dyDescent="0.25">
      <c r="B102" s="851" t="s">
        <v>3</v>
      </c>
      <c r="C102" s="707" t="s">
        <v>471</v>
      </c>
      <c r="D102" s="707"/>
      <c r="E102" s="707"/>
      <c r="F102" s="707"/>
      <c r="G102" s="2242"/>
      <c r="H102" s="2242"/>
      <c r="I102" s="2262"/>
      <c r="J102" s="2263"/>
      <c r="K102" s="2264">
        <f>'6. T3 TASE'!G44/1000</f>
        <v>0</v>
      </c>
      <c r="L102" s="2264"/>
      <c r="M102" s="2264">
        <f>'6. T3 TASE'!H44/1000</f>
        <v>0</v>
      </c>
      <c r="N102" s="2264"/>
      <c r="O102" s="2264">
        <f>'6. T3 TASE'!I44/1000</f>
        <v>0</v>
      </c>
      <c r="P102" s="2264"/>
      <c r="Q102" s="2264">
        <f>'6. T3 TASE'!J44/1000</f>
        <v>0</v>
      </c>
      <c r="R102" s="2265"/>
    </row>
    <row r="103" spans="2:18" ht="12" customHeight="1" x14ac:dyDescent="0.25">
      <c r="B103" s="851">
        <v>0</v>
      </c>
      <c r="C103" s="707" t="s">
        <v>472</v>
      </c>
      <c r="D103" s="707"/>
      <c r="E103" s="707"/>
      <c r="F103" s="707"/>
      <c r="G103" s="2242"/>
      <c r="H103" s="2242"/>
      <c r="I103" s="2262"/>
      <c r="J103" s="2263"/>
      <c r="K103" s="2264">
        <f>'6. T3 TASE'!G46/1000</f>
        <v>0</v>
      </c>
      <c r="L103" s="2264"/>
      <c r="M103" s="2264">
        <f>'6. T3 TASE'!H46/1000</f>
        <v>0</v>
      </c>
      <c r="N103" s="2264"/>
      <c r="O103" s="2264">
        <f>'6. T3 TASE'!I46/1000</f>
        <v>0</v>
      </c>
      <c r="P103" s="2264"/>
      <c r="Q103" s="2264">
        <f>'6. T3 TASE'!J46/1000</f>
        <v>0</v>
      </c>
      <c r="R103" s="2265"/>
    </row>
    <row r="104" spans="2:18" ht="12" customHeight="1" x14ac:dyDescent="0.25">
      <c r="B104" s="851"/>
      <c r="C104" s="707" t="s">
        <v>473</v>
      </c>
      <c r="D104" s="707"/>
      <c r="E104" s="707"/>
      <c r="F104" s="707"/>
      <c r="G104" s="2270"/>
      <c r="H104" s="2270"/>
      <c r="I104" s="2284"/>
      <c r="J104" s="2285"/>
      <c r="K104" s="2264">
        <f>'6. T3 TASE'!G47/1000</f>
        <v>0</v>
      </c>
      <c r="L104" s="2264"/>
      <c r="M104" s="2264">
        <f>'6. T3 TASE'!H47/1000</f>
        <v>0</v>
      </c>
      <c r="N104" s="2264"/>
      <c r="O104" s="2264">
        <f>'6. T3 TASE'!I47/1000</f>
        <v>0</v>
      </c>
      <c r="P104" s="2264"/>
      <c r="Q104" s="2264">
        <f>'6. T3 TASE'!J47/1000</f>
        <v>0</v>
      </c>
      <c r="R104" s="2265"/>
    </row>
    <row r="105" spans="2:18" ht="12" customHeight="1" x14ac:dyDescent="0.25">
      <c r="B105" s="851" t="s">
        <v>653</v>
      </c>
      <c r="C105" s="706" t="s">
        <v>474</v>
      </c>
      <c r="D105" s="706"/>
      <c r="E105" s="706"/>
      <c r="F105" s="706"/>
      <c r="G105" s="2237"/>
      <c r="H105" s="2237"/>
      <c r="I105" s="2280"/>
      <c r="J105" s="2281"/>
      <c r="K105" s="2282">
        <f>'6. T3 TASE'!G48/1000</f>
        <v>0</v>
      </c>
      <c r="L105" s="2282"/>
      <c r="M105" s="2282">
        <f>'6. T3 TASE'!H48/1000</f>
        <v>0</v>
      </c>
      <c r="N105" s="2282"/>
      <c r="O105" s="2282">
        <f>'6. T3 TASE'!I48/1000</f>
        <v>0</v>
      </c>
      <c r="P105" s="2282"/>
      <c r="Q105" s="2282">
        <f>'6. T3 TASE'!J48/1000</f>
        <v>0</v>
      </c>
      <c r="R105" s="2283"/>
    </row>
    <row r="106" spans="2:18" ht="12" customHeight="1" x14ac:dyDescent="0.25">
      <c r="B106" s="851" t="s">
        <v>656</v>
      </c>
      <c r="C106" s="706" t="s">
        <v>476</v>
      </c>
      <c r="D106" s="706"/>
      <c r="E106" s="706"/>
      <c r="F106" s="706"/>
      <c r="G106" s="2237"/>
      <c r="H106" s="2237"/>
      <c r="I106" s="2280"/>
      <c r="J106" s="2281"/>
      <c r="K106" s="2282">
        <f>'6. T3 TASE'!G49/1000</f>
        <v>0</v>
      </c>
      <c r="L106" s="2282"/>
      <c r="M106" s="2282">
        <f>'6. T3 TASE'!H49/1000</f>
        <v>0</v>
      </c>
      <c r="N106" s="2282"/>
      <c r="O106" s="2282">
        <f>'6. T3 TASE'!I49/1000</f>
        <v>0</v>
      </c>
      <c r="P106" s="2282"/>
      <c r="Q106" s="2282">
        <f>'6. T3 TASE'!J49/1000</f>
        <v>0</v>
      </c>
      <c r="R106" s="2283"/>
    </row>
    <row r="107" spans="2:18" ht="12" customHeight="1" x14ac:dyDescent="0.25">
      <c r="B107" s="1496"/>
      <c r="C107" s="1497" t="s">
        <v>477</v>
      </c>
      <c r="D107" s="1498"/>
      <c r="E107" s="1498"/>
      <c r="F107" s="1498"/>
      <c r="G107" s="2406"/>
      <c r="H107" s="2407"/>
      <c r="I107" s="2406"/>
      <c r="J107" s="2408"/>
      <c r="K107" s="2401">
        <f>'6. T3 TASE'!G51/1000</f>
        <v>0</v>
      </c>
      <c r="L107" s="2401"/>
      <c r="M107" s="2401">
        <f>'6. T3 TASE'!H51/1000</f>
        <v>0</v>
      </c>
      <c r="N107" s="2401"/>
      <c r="O107" s="2401">
        <f>'6. T3 TASE'!I51/1000</f>
        <v>0</v>
      </c>
      <c r="P107" s="2401"/>
      <c r="Q107" s="2401">
        <f>'6. T3 TASE'!J51/1000</f>
        <v>0</v>
      </c>
      <c r="R107" s="2401"/>
    </row>
    <row r="108" spans="2:18" ht="10.5" customHeight="1" x14ac:dyDescent="0.25">
      <c r="B108" s="2271" t="s">
        <v>657</v>
      </c>
      <c r="C108" s="2272"/>
      <c r="D108" s="2272"/>
      <c r="E108" s="2272"/>
      <c r="F108" s="1493"/>
      <c r="G108" s="2402"/>
      <c r="H108" s="2402"/>
      <c r="I108" s="2402"/>
      <c r="J108" s="2402"/>
      <c r="K108" s="2403" t="str">
        <f>K86</f>
        <v>Ennuste 1</v>
      </c>
      <c r="L108" s="2404"/>
      <c r="M108" s="2403" t="str">
        <f>M86</f>
        <v>Ennuste 2</v>
      </c>
      <c r="N108" s="2404"/>
      <c r="O108" s="2403" t="str">
        <f>O86</f>
        <v>Ennuste 3</v>
      </c>
      <c r="P108" s="2404"/>
      <c r="Q108" s="2403" t="str">
        <f>Q86</f>
        <v>Ennuste 4</v>
      </c>
      <c r="R108" s="2404"/>
    </row>
    <row r="109" spans="2:18" ht="10.5" customHeight="1" x14ac:dyDescent="0.25">
      <c r="B109" s="2273"/>
      <c r="C109" s="2274"/>
      <c r="D109" s="2274"/>
      <c r="E109" s="2274"/>
      <c r="F109" s="1494"/>
      <c r="G109" s="2405"/>
      <c r="H109" s="2405"/>
      <c r="I109" s="2405"/>
      <c r="J109" s="2405"/>
      <c r="K109" s="2409">
        <f>K87</f>
        <v>2024</v>
      </c>
      <c r="L109" s="2410"/>
      <c r="M109" s="2409">
        <f>M87</f>
        <v>2025</v>
      </c>
      <c r="N109" s="2410"/>
      <c r="O109" s="2409">
        <f>O87</f>
        <v>2026</v>
      </c>
      <c r="P109" s="2410"/>
      <c r="Q109" s="2409">
        <f>Q87</f>
        <v>2027</v>
      </c>
      <c r="R109" s="2410"/>
    </row>
    <row r="110" spans="2:18" ht="12" customHeight="1" x14ac:dyDescent="0.25">
      <c r="B110" s="850" t="s">
        <v>479</v>
      </c>
      <c r="C110" s="459" t="s">
        <v>480</v>
      </c>
      <c r="D110" s="459"/>
      <c r="E110" s="459"/>
      <c r="F110" s="459"/>
      <c r="G110" s="2238"/>
      <c r="H110" s="2239"/>
      <c r="I110" s="2411"/>
      <c r="J110" s="2412"/>
      <c r="K110" s="2385">
        <f>'6. T3 TASE'!G56/1000</f>
        <v>0</v>
      </c>
      <c r="L110" s="2385"/>
      <c r="M110" s="2385">
        <f>'6. T3 TASE'!H56/1000</f>
        <v>0</v>
      </c>
      <c r="N110" s="2385"/>
      <c r="O110" s="2385">
        <f>'6. T3 TASE'!I56/1000</f>
        <v>0</v>
      </c>
      <c r="P110" s="2385"/>
      <c r="Q110" s="2385">
        <f>'6. T3 TASE'!J56/1000</f>
        <v>0</v>
      </c>
      <c r="R110" s="2385"/>
    </row>
    <row r="111" spans="2:18" ht="12" customHeight="1" x14ac:dyDescent="0.25">
      <c r="B111" s="851">
        <v>0</v>
      </c>
      <c r="C111" s="708" t="s">
        <v>481</v>
      </c>
      <c r="D111" s="708"/>
      <c r="E111" s="708"/>
      <c r="F111" s="708"/>
      <c r="G111" s="2240"/>
      <c r="H111" s="2240"/>
      <c r="I111" s="2413"/>
      <c r="J111" s="2414"/>
      <c r="K111" s="2415">
        <f>'6. T3 TASE'!G57/1000</f>
        <v>0</v>
      </c>
      <c r="L111" s="2264"/>
      <c r="M111" s="2264">
        <f>'6. T3 TASE'!H57/1000</f>
        <v>0</v>
      </c>
      <c r="N111" s="2264"/>
      <c r="O111" s="2264">
        <f>'6. T3 TASE'!I57/1000</f>
        <v>0</v>
      </c>
      <c r="P111" s="2264"/>
      <c r="Q111" s="2264">
        <f>'6. T3 TASE'!J57/1000</f>
        <v>0</v>
      </c>
      <c r="R111" s="2265"/>
    </row>
    <row r="112" spans="2:18" ht="12" customHeight="1" x14ac:dyDescent="0.25">
      <c r="B112" s="851">
        <v>0</v>
      </c>
      <c r="C112" s="708" t="s">
        <v>482</v>
      </c>
      <c r="D112" s="708"/>
      <c r="E112" s="708"/>
      <c r="F112" s="708"/>
      <c r="G112" s="2240"/>
      <c r="H112" s="2240"/>
      <c r="I112" s="2413"/>
      <c r="J112" s="2414"/>
      <c r="K112" s="2415">
        <f>'6. T3 TASE'!G58/1000</f>
        <v>0</v>
      </c>
      <c r="L112" s="2264"/>
      <c r="M112" s="2264">
        <f>'6. T3 TASE'!H58/1000</f>
        <v>0</v>
      </c>
      <c r="N112" s="2264"/>
      <c r="O112" s="2264">
        <f>'6. T3 TASE'!I58/1000</f>
        <v>0</v>
      </c>
      <c r="P112" s="2264"/>
      <c r="Q112" s="2264">
        <f>'6. T3 TASE'!J58/1000</f>
        <v>0</v>
      </c>
      <c r="R112" s="2265"/>
    </row>
    <row r="113" spans="2:18" ht="12" customHeight="1" x14ac:dyDescent="0.25">
      <c r="B113" s="851">
        <v>0</v>
      </c>
      <c r="C113" s="708" t="s">
        <v>483</v>
      </c>
      <c r="D113" s="708"/>
      <c r="E113" s="708"/>
      <c r="F113" s="708"/>
      <c r="G113" s="2240"/>
      <c r="H113" s="2240"/>
      <c r="I113" s="2413"/>
      <c r="J113" s="2414"/>
      <c r="K113" s="2415">
        <f>'6. T3 TASE'!G59/1000</f>
        <v>0</v>
      </c>
      <c r="L113" s="2264"/>
      <c r="M113" s="2264">
        <f>'6. T3 TASE'!H59/1000</f>
        <v>0</v>
      </c>
      <c r="N113" s="2264"/>
      <c r="O113" s="2264">
        <f>'6. T3 TASE'!I59/1000</f>
        <v>0</v>
      </c>
      <c r="P113" s="2264"/>
      <c r="Q113" s="2264">
        <f>'6. T3 TASE'!J59/1000</f>
        <v>0</v>
      </c>
      <c r="R113" s="2265"/>
    </row>
    <row r="114" spans="2:18" ht="12" customHeight="1" x14ac:dyDescent="0.25">
      <c r="B114" s="851">
        <v>0</v>
      </c>
      <c r="C114" s="708" t="s">
        <v>484</v>
      </c>
      <c r="D114" s="708"/>
      <c r="E114" s="708"/>
      <c r="F114" s="708"/>
      <c r="G114" s="2240"/>
      <c r="H114" s="2240"/>
      <c r="I114" s="2413"/>
      <c r="J114" s="2414"/>
      <c r="K114" s="2415">
        <f>'6. T3 TASE'!G60/1000</f>
        <v>0</v>
      </c>
      <c r="L114" s="2264"/>
      <c r="M114" s="2264">
        <f>'6. T3 TASE'!H60/1000</f>
        <v>0</v>
      </c>
      <c r="N114" s="2264"/>
      <c r="O114" s="2264">
        <f>'6. T3 TASE'!I60/1000</f>
        <v>0</v>
      </c>
      <c r="P114" s="2264"/>
      <c r="Q114" s="2264">
        <f>'6. T3 TASE'!J60/1000</f>
        <v>0</v>
      </c>
      <c r="R114" s="2265"/>
    </row>
    <row r="115" spans="2:18" ht="12" customHeight="1" x14ac:dyDescent="0.25">
      <c r="B115" s="851">
        <v>0</v>
      </c>
      <c r="C115" s="708" t="s">
        <v>485</v>
      </c>
      <c r="D115" s="708"/>
      <c r="E115" s="708"/>
      <c r="F115" s="708"/>
      <c r="G115" s="2240"/>
      <c r="H115" s="2240"/>
      <c r="I115" s="2413"/>
      <c r="J115" s="2414"/>
      <c r="K115" s="2415">
        <f>'6. T3 TASE'!G61/1000</f>
        <v>0</v>
      </c>
      <c r="L115" s="2264"/>
      <c r="M115" s="2264">
        <f>'6. T3 TASE'!H61/1000</f>
        <v>0</v>
      </c>
      <c r="N115" s="2264"/>
      <c r="O115" s="2264">
        <f>'6. T3 TASE'!I61/1000</f>
        <v>0</v>
      </c>
      <c r="P115" s="2264"/>
      <c r="Q115" s="2264">
        <f>'6. T3 TASE'!J61/1000</f>
        <v>0</v>
      </c>
      <c r="R115" s="2265"/>
    </row>
    <row r="116" spans="2:18" ht="12" customHeight="1" x14ac:dyDescent="0.25">
      <c r="B116" s="850" t="s">
        <v>658</v>
      </c>
      <c r="C116" s="709" t="s">
        <v>487</v>
      </c>
      <c r="D116" s="709"/>
      <c r="E116" s="709"/>
      <c r="F116" s="709"/>
      <c r="G116" s="2241"/>
      <c r="H116" s="2241"/>
      <c r="I116" s="2416"/>
      <c r="J116" s="2417"/>
      <c r="K116" s="2418">
        <f>'6. T3 TASE'!G62/1000</f>
        <v>0</v>
      </c>
      <c r="L116" s="2282"/>
      <c r="M116" s="2282">
        <f>'6. T3 TASE'!H62/1000</f>
        <v>0</v>
      </c>
      <c r="N116" s="2282"/>
      <c r="O116" s="2282">
        <f>'6. T3 TASE'!I62/1000</f>
        <v>0</v>
      </c>
      <c r="P116" s="2282"/>
      <c r="Q116" s="2282">
        <f>'6. T3 TASE'!J62/1000</f>
        <v>0</v>
      </c>
      <c r="R116" s="2283"/>
    </row>
    <row r="117" spans="2:18" ht="12" customHeight="1" x14ac:dyDescent="0.25">
      <c r="B117" s="850" t="s">
        <v>492</v>
      </c>
      <c r="C117" s="709" t="s">
        <v>493</v>
      </c>
      <c r="D117" s="709"/>
      <c r="E117" s="709"/>
      <c r="F117" s="709"/>
      <c r="G117" s="2241"/>
      <c r="H117" s="2241"/>
      <c r="I117" s="2416"/>
      <c r="J117" s="2417"/>
      <c r="K117" s="2418">
        <f>'6. T3 TASE'!G66/1000</f>
        <v>0</v>
      </c>
      <c r="L117" s="2282"/>
      <c r="M117" s="2282">
        <f>'6. T3 TASE'!H66/1000</f>
        <v>0</v>
      </c>
      <c r="N117" s="2282"/>
      <c r="O117" s="2282">
        <f>'6. T3 TASE'!I66/1000</f>
        <v>0</v>
      </c>
      <c r="P117" s="2282"/>
      <c r="Q117" s="2282">
        <f>'6. T3 TASE'!J66/1000</f>
        <v>0</v>
      </c>
      <c r="R117" s="2283"/>
    </row>
    <row r="118" spans="2:18" ht="12" customHeight="1" x14ac:dyDescent="0.25">
      <c r="B118" s="850" t="s">
        <v>494</v>
      </c>
      <c r="C118" s="709" t="s">
        <v>495</v>
      </c>
      <c r="D118" s="709"/>
      <c r="E118" s="709"/>
      <c r="F118" s="709"/>
      <c r="G118" s="2241"/>
      <c r="H118" s="2241"/>
      <c r="I118" s="2416"/>
      <c r="J118" s="2417"/>
      <c r="K118" s="2418">
        <f>'6. T3 TASE'!G67/1000</f>
        <v>0</v>
      </c>
      <c r="L118" s="2282"/>
      <c r="M118" s="2282">
        <f>'6. T3 TASE'!H67/1000</f>
        <v>0</v>
      </c>
      <c r="N118" s="2282"/>
      <c r="O118" s="2282">
        <f>'6. T3 TASE'!I67/1000</f>
        <v>0</v>
      </c>
      <c r="P118" s="2282"/>
      <c r="Q118" s="2282">
        <f>'6. T3 TASE'!J67/1000</f>
        <v>0</v>
      </c>
      <c r="R118" s="2283"/>
    </row>
    <row r="119" spans="2:18" ht="12" customHeight="1" x14ac:dyDescent="0.25">
      <c r="B119" s="851" t="s">
        <v>3</v>
      </c>
      <c r="C119" s="708" t="s">
        <v>496</v>
      </c>
      <c r="D119" s="708"/>
      <c r="E119" s="708"/>
      <c r="F119" s="708"/>
      <c r="G119" s="2240"/>
      <c r="H119" s="2240"/>
      <c r="I119" s="2413"/>
      <c r="J119" s="2414"/>
      <c r="K119" s="2415">
        <f>'6. T3 TASE'!G68/1000</f>
        <v>0</v>
      </c>
      <c r="L119" s="2264"/>
      <c r="M119" s="2264">
        <f>'6. T3 TASE'!H68/1000</f>
        <v>0</v>
      </c>
      <c r="N119" s="2264"/>
      <c r="O119" s="2264">
        <f>'6. T3 TASE'!I68/1000</f>
        <v>0</v>
      </c>
      <c r="P119" s="2264"/>
      <c r="Q119" s="2264">
        <f>'6. T3 TASE'!J68/1000</f>
        <v>0</v>
      </c>
      <c r="R119" s="2265"/>
    </row>
    <row r="120" spans="2:18" ht="12" customHeight="1" x14ac:dyDescent="0.25">
      <c r="B120" s="851" t="s">
        <v>3</v>
      </c>
      <c r="C120" s="710" t="s">
        <v>497</v>
      </c>
      <c r="D120" s="710"/>
      <c r="E120" s="710"/>
      <c r="F120" s="710"/>
      <c r="G120" s="2240"/>
      <c r="H120" s="2240"/>
      <c r="I120" s="2413"/>
      <c r="J120" s="2414"/>
      <c r="K120" s="2415">
        <f>'6. T3 TASE'!G69/1000</f>
        <v>0</v>
      </c>
      <c r="L120" s="2264"/>
      <c r="M120" s="2264">
        <f>'6. T3 TASE'!H69/1000</f>
        <v>0</v>
      </c>
      <c r="N120" s="2264"/>
      <c r="O120" s="2264">
        <f>'6. T3 TASE'!I69/1000</f>
        <v>0</v>
      </c>
      <c r="P120" s="2264"/>
      <c r="Q120" s="2264">
        <f>'6. T3 TASE'!J69/1000</f>
        <v>0</v>
      </c>
      <c r="R120" s="2265"/>
    </row>
    <row r="121" spans="2:18" ht="12" customHeight="1" x14ac:dyDescent="0.25">
      <c r="B121" s="851" t="s">
        <v>3</v>
      </c>
      <c r="C121" s="708" t="s">
        <v>498</v>
      </c>
      <c r="D121" s="708"/>
      <c r="E121" s="708"/>
      <c r="F121" s="708"/>
      <c r="G121" s="2240"/>
      <c r="H121" s="2240"/>
      <c r="I121" s="2413"/>
      <c r="J121" s="2414"/>
      <c r="K121" s="2415">
        <f>'6. T3 TASE'!G70/1000</f>
        <v>0</v>
      </c>
      <c r="L121" s="2264"/>
      <c r="M121" s="2264">
        <f>'6. T3 TASE'!H70/1000</f>
        <v>0</v>
      </c>
      <c r="N121" s="2264"/>
      <c r="O121" s="2264">
        <f>'6. T3 TASE'!I70/1000</f>
        <v>0</v>
      </c>
      <c r="P121" s="2264"/>
      <c r="Q121" s="2264">
        <f>'6. T3 TASE'!J70/1000</f>
        <v>0</v>
      </c>
      <c r="R121" s="2265"/>
    </row>
    <row r="122" spans="2:18" ht="12" customHeight="1" x14ac:dyDescent="0.25">
      <c r="B122" s="851">
        <v>0</v>
      </c>
      <c r="C122" s="708" t="s">
        <v>501</v>
      </c>
      <c r="D122" s="708"/>
      <c r="E122" s="708"/>
      <c r="F122" s="708"/>
      <c r="G122" s="2240"/>
      <c r="H122" s="2240"/>
      <c r="I122" s="2413"/>
      <c r="J122" s="2414"/>
      <c r="K122" s="2415">
        <f>'6. T3 TASE'!G73/1000</f>
        <v>0</v>
      </c>
      <c r="L122" s="2264"/>
      <c r="M122" s="2264">
        <f>'6. T3 TASE'!H73/1000</f>
        <v>0</v>
      </c>
      <c r="N122" s="2264"/>
      <c r="O122" s="2264">
        <f>'6. T3 TASE'!I73/1000</f>
        <v>0</v>
      </c>
      <c r="P122" s="2264"/>
      <c r="Q122" s="2264">
        <f>'6. T3 TASE'!J73/1000</f>
        <v>0</v>
      </c>
      <c r="R122" s="2265"/>
    </row>
    <row r="123" spans="2:18" ht="12" customHeight="1" x14ac:dyDescent="0.25">
      <c r="B123" s="850" t="s">
        <v>502</v>
      </c>
      <c r="C123" s="711" t="s">
        <v>503</v>
      </c>
      <c r="D123" s="711"/>
      <c r="E123" s="711"/>
      <c r="F123" s="711"/>
      <c r="G123" s="2240"/>
      <c r="H123" s="2240"/>
      <c r="I123" s="2413"/>
      <c r="J123" s="2414"/>
      <c r="K123" s="2418">
        <f>'6. T3 TASE'!G74/1000</f>
        <v>0</v>
      </c>
      <c r="L123" s="2282"/>
      <c r="M123" s="2282">
        <f>'6. T3 TASE'!H74/1000</f>
        <v>0</v>
      </c>
      <c r="N123" s="2282"/>
      <c r="O123" s="2282">
        <f>'6. T3 TASE'!I74/1000</f>
        <v>0</v>
      </c>
      <c r="P123" s="2282"/>
      <c r="Q123" s="2282">
        <f>'6. T3 TASE'!J74/1000</f>
        <v>0</v>
      </c>
      <c r="R123" s="2283"/>
    </row>
    <row r="124" spans="2:18" ht="12" customHeight="1" x14ac:dyDescent="0.25">
      <c r="B124" s="851" t="s">
        <v>3</v>
      </c>
      <c r="C124" s="708" t="s">
        <v>496</v>
      </c>
      <c r="D124" s="708"/>
      <c r="E124" s="708"/>
      <c r="F124" s="708"/>
      <c r="G124" s="2240"/>
      <c r="H124" s="2240"/>
      <c r="I124" s="2413"/>
      <c r="J124" s="2414"/>
      <c r="K124" s="2415">
        <f>'6. T3 TASE'!G75/1000</f>
        <v>0</v>
      </c>
      <c r="L124" s="2264"/>
      <c r="M124" s="2264">
        <f>'6. T3 TASE'!H75/1000</f>
        <v>0</v>
      </c>
      <c r="N124" s="2264"/>
      <c r="O124" s="2264">
        <f>'6. T3 TASE'!I75/1000</f>
        <v>0</v>
      </c>
      <c r="P124" s="2264"/>
      <c r="Q124" s="2264">
        <f>'6. T3 TASE'!J75/1000</f>
        <v>0</v>
      </c>
      <c r="R124" s="2265"/>
    </row>
    <row r="125" spans="2:18" ht="12" customHeight="1" x14ac:dyDescent="0.25">
      <c r="B125" s="851">
        <v>0</v>
      </c>
      <c r="C125" s="708" t="s">
        <v>497</v>
      </c>
      <c r="D125" s="708"/>
      <c r="E125" s="708"/>
      <c r="F125" s="708"/>
      <c r="G125" s="2419"/>
      <c r="H125" s="2420"/>
      <c r="I125" s="2413"/>
      <c r="J125" s="2414"/>
      <c r="K125" s="2415">
        <f>'6. T3 TASE'!G78/1000</f>
        <v>0</v>
      </c>
      <c r="L125" s="2264"/>
      <c r="M125" s="2264">
        <f>'6. T3 TASE'!H78/1000</f>
        <v>0</v>
      </c>
      <c r="N125" s="2264"/>
      <c r="O125" s="2264">
        <f>'6. T3 TASE'!I78/1000</f>
        <v>0</v>
      </c>
      <c r="P125" s="2264"/>
      <c r="Q125" s="2264">
        <f>'6. T3 TASE'!J78/1000</f>
        <v>0</v>
      </c>
      <c r="R125" s="2265"/>
    </row>
    <row r="126" spans="2:18" ht="12" customHeight="1" x14ac:dyDescent="0.25">
      <c r="B126" s="851">
        <v>0</v>
      </c>
      <c r="C126" s="708" t="s">
        <v>498</v>
      </c>
      <c r="D126" s="708"/>
      <c r="E126" s="708"/>
      <c r="F126" s="708"/>
      <c r="G126" s="2419"/>
      <c r="H126" s="2420"/>
      <c r="I126" s="2413"/>
      <c r="J126" s="2414"/>
      <c r="K126" s="2415">
        <f>'6. T3 TASE'!G79/1000</f>
        <v>0</v>
      </c>
      <c r="L126" s="2264"/>
      <c r="M126" s="2264">
        <f>'6. T3 TASE'!H79/1000</f>
        <v>0</v>
      </c>
      <c r="N126" s="2264"/>
      <c r="O126" s="2264">
        <f>'6. T3 TASE'!I79/1000</f>
        <v>0</v>
      </c>
      <c r="P126" s="2264"/>
      <c r="Q126" s="2264">
        <f>'6. T3 TASE'!J79/1000</f>
        <v>0</v>
      </c>
      <c r="R126" s="2265"/>
    </row>
    <row r="127" spans="2:18" ht="12" customHeight="1" x14ac:dyDescent="0.25">
      <c r="B127" s="851"/>
      <c r="C127" s="2506" t="s">
        <v>659</v>
      </c>
      <c r="D127" s="2506"/>
      <c r="E127" s="823"/>
      <c r="F127" s="823"/>
      <c r="G127" s="2421"/>
      <c r="H127" s="2422"/>
      <c r="I127" s="2423"/>
      <c r="J127" s="2424"/>
      <c r="K127" s="2425">
        <f>'6. T3 TASE'!G81</f>
        <v>14</v>
      </c>
      <c r="L127" s="2426"/>
      <c r="M127" s="2426">
        <f>'6. T3 TASE'!H81</f>
        <v>14</v>
      </c>
      <c r="N127" s="2426"/>
      <c r="O127" s="2426">
        <f>'6. T3 TASE'!I81</f>
        <v>14</v>
      </c>
      <c r="P127" s="2426"/>
      <c r="Q127" s="2426">
        <f>'6. T3 TASE'!J81</f>
        <v>14</v>
      </c>
      <c r="R127" s="2427"/>
    </row>
    <row r="128" spans="2:18" ht="12" customHeight="1" x14ac:dyDescent="0.25">
      <c r="B128" s="851" t="s">
        <v>3</v>
      </c>
      <c r="C128" s="708" t="s">
        <v>506</v>
      </c>
      <c r="D128" s="708"/>
      <c r="E128" s="708"/>
      <c r="F128" s="708"/>
      <c r="G128" s="2419"/>
      <c r="H128" s="2420"/>
      <c r="I128" s="2413"/>
      <c r="J128" s="2414"/>
      <c r="K128" s="2415">
        <f>'6. T3 TASE'!G83/1000</f>
        <v>0</v>
      </c>
      <c r="L128" s="2264"/>
      <c r="M128" s="2264">
        <f>'6. T3 TASE'!H83/1000</f>
        <v>0</v>
      </c>
      <c r="N128" s="2264"/>
      <c r="O128" s="2264">
        <f>'6. T3 TASE'!I83/1000</f>
        <v>0</v>
      </c>
      <c r="P128" s="2264"/>
      <c r="Q128" s="2264">
        <f>'6. T3 TASE'!J83/1000</f>
        <v>0</v>
      </c>
      <c r="R128" s="2265"/>
    </row>
    <row r="129" spans="2:18" ht="12" customHeight="1" x14ac:dyDescent="0.25">
      <c r="B129" s="851" t="s">
        <v>3</v>
      </c>
      <c r="C129" s="708" t="s">
        <v>512</v>
      </c>
      <c r="D129" s="708"/>
      <c r="E129" s="708"/>
      <c r="F129" s="708"/>
      <c r="G129" s="2419"/>
      <c r="H129" s="2420"/>
      <c r="I129" s="2413"/>
      <c r="J129" s="2414"/>
      <c r="K129" s="2415">
        <f>'6. T3 TASE'!G89/1000</f>
        <v>0</v>
      </c>
      <c r="L129" s="2264"/>
      <c r="M129" s="2264">
        <f>'6. T3 TASE'!H89/1000</f>
        <v>0</v>
      </c>
      <c r="N129" s="2264"/>
      <c r="O129" s="2264">
        <f>'6. T3 TASE'!I89/1000</f>
        <v>0</v>
      </c>
      <c r="P129" s="2264"/>
      <c r="Q129" s="2264">
        <f>'6. T3 TASE'!J89/1000</f>
        <v>0</v>
      </c>
      <c r="R129" s="2265"/>
    </row>
    <row r="130" spans="2:18" ht="12" customHeight="1" x14ac:dyDescent="0.25">
      <c r="B130" s="851">
        <v>0</v>
      </c>
      <c r="C130" s="708" t="s">
        <v>517</v>
      </c>
      <c r="D130" s="708"/>
      <c r="E130" s="708"/>
      <c r="F130" s="708"/>
      <c r="G130" s="2419"/>
      <c r="H130" s="2420"/>
      <c r="I130" s="2413"/>
      <c r="J130" s="2414"/>
      <c r="K130" s="2415">
        <f>'6. T3 TASE'!G94/1000</f>
        <v>0</v>
      </c>
      <c r="L130" s="2264"/>
      <c r="M130" s="2264">
        <f>'6. T3 TASE'!H94/1000</f>
        <v>0</v>
      </c>
      <c r="N130" s="2264"/>
      <c r="O130" s="2264">
        <f>'6. T3 TASE'!I94/1000</f>
        <v>0</v>
      </c>
      <c r="P130" s="2264"/>
      <c r="Q130" s="2264">
        <f>'6. T3 TASE'!J94/1000</f>
        <v>0</v>
      </c>
      <c r="R130" s="2265"/>
    </row>
    <row r="131" spans="2:18" ht="12" customHeight="1" x14ac:dyDescent="0.25">
      <c r="B131" s="1499">
        <v>0</v>
      </c>
      <c r="C131" s="1498" t="s">
        <v>519</v>
      </c>
      <c r="D131" s="1498"/>
      <c r="E131" s="1498"/>
      <c r="F131" s="1498"/>
      <c r="G131" s="2406"/>
      <c r="H131" s="2407"/>
      <c r="I131" s="2430"/>
      <c r="J131" s="2431"/>
      <c r="K131" s="2432">
        <f>'6. T3 TASE'!G98/1000</f>
        <v>0</v>
      </c>
      <c r="L131" s="2432"/>
      <c r="M131" s="2432">
        <f>'6. T3 TASE'!H98/1000</f>
        <v>0</v>
      </c>
      <c r="N131" s="2432"/>
      <c r="O131" s="2432">
        <f>'6. T3 TASE'!I98/1000</f>
        <v>0</v>
      </c>
      <c r="P131" s="2432"/>
      <c r="Q131" s="2432">
        <f>'6. T3 TASE'!J98/1000</f>
        <v>0</v>
      </c>
      <c r="R131" s="2432"/>
    </row>
    <row r="132" spans="2:18" ht="12" customHeight="1" x14ac:dyDescent="0.25">
      <c r="B132" s="113"/>
      <c r="C132" s="113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</row>
    <row r="133" spans="2:18" ht="10.5" customHeight="1" x14ac:dyDescent="0.25">
      <c r="B133" s="2507" t="s">
        <v>660</v>
      </c>
      <c r="C133" s="2508"/>
      <c r="D133" s="2508"/>
      <c r="E133" s="2508"/>
      <c r="F133" s="2508"/>
      <c r="G133" s="2508"/>
      <c r="H133" s="2508"/>
      <c r="I133" s="2508"/>
      <c r="J133" s="2508"/>
      <c r="K133" s="2260" t="str">
        <f>K108</f>
        <v>Ennuste 1</v>
      </c>
      <c r="L133" s="2259"/>
      <c r="M133" s="2260" t="str">
        <f>M108</f>
        <v>Ennuste 2</v>
      </c>
      <c r="N133" s="2259"/>
      <c r="O133" s="2260" t="str">
        <f>O108</f>
        <v>Ennuste 3</v>
      </c>
      <c r="P133" s="2259"/>
      <c r="Q133" s="2260" t="str">
        <f>Q108</f>
        <v>Ennuste 4</v>
      </c>
      <c r="R133" s="2259"/>
    </row>
    <row r="134" spans="2:18" ht="10.5" customHeight="1" x14ac:dyDescent="0.25">
      <c r="B134" s="2509"/>
      <c r="C134" s="2223"/>
      <c r="D134" s="2223"/>
      <c r="E134" s="2223"/>
      <c r="F134" s="2223"/>
      <c r="G134" s="2223"/>
      <c r="H134" s="2223"/>
      <c r="I134" s="2223"/>
      <c r="J134" s="2223"/>
      <c r="K134" s="2428">
        <f>K109</f>
        <v>2024</v>
      </c>
      <c r="L134" s="2429"/>
      <c r="M134" s="2428">
        <f>M109</f>
        <v>2025</v>
      </c>
      <c r="N134" s="2429"/>
      <c r="O134" s="2428">
        <f>O109</f>
        <v>2026</v>
      </c>
      <c r="P134" s="2429"/>
      <c r="Q134" s="2428">
        <f>Q109</f>
        <v>2027</v>
      </c>
      <c r="R134" s="2429"/>
    </row>
    <row r="135" spans="2:18" ht="12" customHeight="1" x14ac:dyDescent="0.25">
      <c r="B135" s="1500" t="s">
        <v>341</v>
      </c>
      <c r="C135" s="1501"/>
      <c r="D135" s="1502"/>
      <c r="E135" s="1502"/>
      <c r="F135" s="1502"/>
      <c r="G135" s="1503"/>
      <c r="H135" s="1504"/>
      <c r="I135" s="1504"/>
      <c r="J135" s="1504"/>
      <c r="K135" s="2433"/>
      <c r="L135" s="2433"/>
      <c r="M135" s="2433"/>
      <c r="N135" s="2433"/>
      <c r="O135" s="2433"/>
      <c r="P135" s="2433"/>
      <c r="Q135" s="2434"/>
      <c r="R135" s="2435"/>
    </row>
    <row r="136" spans="2:18" ht="12" customHeight="1" x14ac:dyDescent="0.25">
      <c r="B136" s="712" t="s">
        <v>24</v>
      </c>
      <c r="C136" s="2286" t="s">
        <v>344</v>
      </c>
      <c r="D136" s="2286"/>
      <c r="E136" s="2286"/>
      <c r="F136" s="2286"/>
      <c r="G136" s="2286"/>
      <c r="H136" s="707"/>
      <c r="I136" s="707"/>
      <c r="J136" s="713"/>
      <c r="K136" s="2436">
        <f>'5. T4 RAHOITUSSUUN.'!G15/1000</f>
        <v>0</v>
      </c>
      <c r="L136" s="2436"/>
      <c r="M136" s="2436">
        <f>'5. T4 RAHOITUSSUUN.'!H15/1000</f>
        <v>0</v>
      </c>
      <c r="N136" s="2436"/>
      <c r="O136" s="2436">
        <f>'5. T4 RAHOITUSSUUN.'!I15/1000</f>
        <v>0</v>
      </c>
      <c r="P136" s="2436"/>
      <c r="Q136" s="2436">
        <f>'5. T4 RAHOITUSSUUN.'!J15/1000</f>
        <v>0</v>
      </c>
      <c r="R136" s="2415"/>
    </row>
    <row r="137" spans="2:18" ht="12" customHeight="1" x14ac:dyDescent="0.25">
      <c r="B137" s="712" t="s">
        <v>28</v>
      </c>
      <c r="C137" s="2286" t="s">
        <v>661</v>
      </c>
      <c r="D137" s="2286"/>
      <c r="E137" s="2286"/>
      <c r="F137" s="2286"/>
      <c r="G137" s="2286"/>
      <c r="H137" s="707"/>
      <c r="I137" s="707"/>
      <c r="J137" s="713"/>
      <c r="K137" s="2436">
        <f>'5. T4 RAHOITUSSUUN.'!G16/1000</f>
        <v>0</v>
      </c>
      <c r="L137" s="2436"/>
      <c r="M137" s="2436">
        <f>'5. T4 RAHOITUSSUUN.'!H16/1000</f>
        <v>0</v>
      </c>
      <c r="N137" s="2436"/>
      <c r="O137" s="2436">
        <f>'5. T4 RAHOITUSSUUN.'!I16/1000</f>
        <v>0</v>
      </c>
      <c r="P137" s="2436"/>
      <c r="Q137" s="2436">
        <f>'5. T4 RAHOITUSSUUN.'!J16/1000</f>
        <v>0</v>
      </c>
      <c r="R137" s="2415"/>
    </row>
    <row r="138" spans="2:18" ht="12" customHeight="1" x14ac:dyDescent="0.25">
      <c r="B138" s="712" t="s">
        <v>32</v>
      </c>
      <c r="C138" s="2286" t="s">
        <v>349</v>
      </c>
      <c r="D138" s="2286"/>
      <c r="E138" s="2286"/>
      <c r="F138" s="2286"/>
      <c r="G138" s="2286"/>
      <c r="H138" s="707"/>
      <c r="I138" s="707"/>
      <c r="J138" s="713"/>
      <c r="K138" s="2436">
        <f>'5. T4 RAHOITUSSUUN.'!G17/1000</f>
        <v>0</v>
      </c>
      <c r="L138" s="2436"/>
      <c r="M138" s="2436">
        <f>'5. T4 RAHOITUSSUUN.'!H17/1000</f>
        <v>0</v>
      </c>
      <c r="N138" s="2436"/>
      <c r="O138" s="2436">
        <f>'5. T4 RAHOITUSSUUN.'!I17/1000</f>
        <v>0</v>
      </c>
      <c r="P138" s="2436"/>
      <c r="Q138" s="2436">
        <f>'5. T4 RAHOITUSSUUN.'!J17/1000</f>
        <v>0</v>
      </c>
      <c r="R138" s="2415"/>
    </row>
    <row r="139" spans="2:18" ht="12" customHeight="1" x14ac:dyDescent="0.25">
      <c r="B139" s="712" t="s">
        <v>34</v>
      </c>
      <c r="C139" s="2286" t="s">
        <v>351</v>
      </c>
      <c r="D139" s="2286"/>
      <c r="E139" s="2286"/>
      <c r="F139" s="2286"/>
      <c r="G139" s="2286"/>
      <c r="H139" s="707"/>
      <c r="I139" s="707"/>
      <c r="J139" s="713"/>
      <c r="K139" s="2436">
        <f>'5. T4 RAHOITUSSUUN.'!G18/1000</f>
        <v>0</v>
      </c>
      <c r="L139" s="2436"/>
      <c r="M139" s="2436">
        <f>'5. T4 RAHOITUSSUUN.'!H18/1000</f>
        <v>0</v>
      </c>
      <c r="N139" s="2436"/>
      <c r="O139" s="2436">
        <f>'5. T4 RAHOITUSSUUN.'!I18/1000</f>
        <v>0</v>
      </c>
      <c r="P139" s="2436"/>
      <c r="Q139" s="2436">
        <f>'5. T4 RAHOITUSSUUN.'!J18/1000</f>
        <v>0</v>
      </c>
      <c r="R139" s="2415"/>
    </row>
    <row r="140" spans="2:18" ht="12" customHeight="1" x14ac:dyDescent="0.25">
      <c r="B140" s="712" t="s">
        <v>36</v>
      </c>
      <c r="C140" s="2286" t="s">
        <v>353</v>
      </c>
      <c r="D140" s="2286"/>
      <c r="E140" s="2286"/>
      <c r="F140" s="2286"/>
      <c r="G140" s="2286"/>
      <c r="H140" s="707"/>
      <c r="I140" s="707"/>
      <c r="J140" s="713"/>
      <c r="K140" s="2436">
        <f>'5. T4 RAHOITUSSUUN.'!G19/1000</f>
        <v>0</v>
      </c>
      <c r="L140" s="2436"/>
      <c r="M140" s="2436">
        <f>'5. T4 RAHOITUSSUUN.'!H19/1000</f>
        <v>0</v>
      </c>
      <c r="N140" s="2436"/>
      <c r="O140" s="2436">
        <f>'5. T4 RAHOITUSSUUN.'!I19/1000</f>
        <v>0</v>
      </c>
      <c r="P140" s="2436"/>
      <c r="Q140" s="2436">
        <f>'5. T4 RAHOITUSSUUN.'!J19/1000</f>
        <v>0</v>
      </c>
      <c r="R140" s="2415"/>
    </row>
    <row r="141" spans="2:18" ht="12" customHeight="1" x14ac:dyDescent="0.25">
      <c r="B141" s="712" t="s">
        <v>38</v>
      </c>
      <c r="C141" s="2291" t="s">
        <v>662</v>
      </c>
      <c r="D141" s="2291"/>
      <c r="E141" s="2291"/>
      <c r="F141" s="2291"/>
      <c r="G141" s="2291"/>
      <c r="H141" s="2291"/>
      <c r="I141" s="2291"/>
      <c r="J141" s="2437"/>
      <c r="K141" s="2436">
        <f>'5. T4 RAHOITUSSUUN.'!G20/1000</f>
        <v>0</v>
      </c>
      <c r="L141" s="2436"/>
      <c r="M141" s="2436">
        <f>'5. T4 RAHOITUSSUUN.'!H20/1000</f>
        <v>0</v>
      </c>
      <c r="N141" s="2436"/>
      <c r="O141" s="2436">
        <f>'5. T4 RAHOITUSSUUN.'!I20/1000</f>
        <v>0</v>
      </c>
      <c r="P141" s="2436"/>
      <c r="Q141" s="2436">
        <f>'5. T4 RAHOITUSSUUN.'!J20/1000</f>
        <v>0</v>
      </c>
      <c r="R141" s="2415"/>
    </row>
    <row r="142" spans="2:18" ht="12" customHeight="1" x14ac:dyDescent="0.25">
      <c r="B142" s="725" t="s">
        <v>40</v>
      </c>
      <c r="C142" s="699" t="s">
        <v>261</v>
      </c>
      <c r="D142" s="699"/>
      <c r="E142" s="699"/>
      <c r="F142" s="699"/>
      <c r="G142" s="1505"/>
      <c r="H142" s="703"/>
      <c r="I142" s="703"/>
      <c r="J142" s="703"/>
      <c r="K142" s="2438">
        <f>'5. T4 RAHOITUSSUUN.'!G21/1000</f>
        <v>0</v>
      </c>
      <c r="L142" s="2438"/>
      <c r="M142" s="2438">
        <f>'5. T4 RAHOITUSSUUN.'!H21/1000</f>
        <v>0</v>
      </c>
      <c r="N142" s="2438"/>
      <c r="O142" s="2438">
        <f>'5. T4 RAHOITUSSUUN.'!I21/1000</f>
        <v>0</v>
      </c>
      <c r="P142" s="2438"/>
      <c r="Q142" s="2438">
        <f>'5. T4 RAHOITUSSUUN.'!J21/1000</f>
        <v>0</v>
      </c>
      <c r="R142" s="2418"/>
    </row>
    <row r="143" spans="2:18" ht="12" customHeight="1" x14ac:dyDescent="0.25">
      <c r="B143" s="1506" t="s">
        <v>359</v>
      </c>
      <c r="C143" s="1501"/>
      <c r="D143" s="1502"/>
      <c r="E143" s="1502"/>
      <c r="F143" s="1502"/>
      <c r="G143" s="1503"/>
      <c r="H143" s="1504"/>
      <c r="I143" s="1504"/>
      <c r="J143" s="1504"/>
      <c r="K143" s="2433"/>
      <c r="L143" s="2433"/>
      <c r="M143" s="2433"/>
      <c r="N143" s="2433"/>
      <c r="O143" s="2433"/>
      <c r="P143" s="2433"/>
      <c r="Q143" s="2434"/>
      <c r="R143" s="2435"/>
    </row>
    <row r="144" spans="2:18" ht="12" customHeight="1" x14ac:dyDescent="0.25">
      <c r="B144" s="712" t="s">
        <v>42</v>
      </c>
      <c r="C144" s="2286" t="s">
        <v>663</v>
      </c>
      <c r="D144" s="2286"/>
      <c r="E144" s="2286"/>
      <c r="F144" s="2286"/>
      <c r="G144" s="2286"/>
      <c r="H144" s="707"/>
      <c r="I144" s="707"/>
      <c r="J144" s="713"/>
      <c r="K144" s="2439">
        <f>('5. T4 RAHOITUSSUUN.'!G24+'5. T4 RAHOITUSSUUN.'!G25+'5. T4 RAHOITUSSUUN.'!G26)/1000</f>
        <v>0</v>
      </c>
      <c r="L144" s="2440"/>
      <c r="M144" s="2439">
        <f>('5. T4 RAHOITUSSUUN.'!H24+'5. T4 RAHOITUSSUUN.'!H25+'5. T4 RAHOITUSSUUN.'!H26)/1000</f>
        <v>0</v>
      </c>
      <c r="N144" s="2440"/>
      <c r="O144" s="2439">
        <f>('5. T4 RAHOITUSSUUN.'!I24+'5. T4 RAHOITUSSUUN.'!I25+'5. T4 RAHOITUSSUUN.'!I26)/1000</f>
        <v>0</v>
      </c>
      <c r="P144" s="2440"/>
      <c r="Q144" s="2439">
        <f>('5. T4 RAHOITUSSUUN.'!J24+'5. T4 RAHOITUSSUUN.'!J25+'5. T4 RAHOITUSSUUN.'!J26)/1000</f>
        <v>0</v>
      </c>
      <c r="R144" s="2441"/>
    </row>
    <row r="145" spans="2:18" ht="12" customHeight="1" x14ac:dyDescent="0.25">
      <c r="B145" s="712" t="s">
        <v>44</v>
      </c>
      <c r="C145" s="2286" t="s">
        <v>367</v>
      </c>
      <c r="D145" s="2286"/>
      <c r="E145" s="2286"/>
      <c r="F145" s="2286"/>
      <c r="G145" s="2286"/>
      <c r="H145" s="707"/>
      <c r="I145" s="707"/>
      <c r="J145" s="713"/>
      <c r="K145" s="2439">
        <f>('5. T4 RAHOITUSSUUN.'!G27)/1000</f>
        <v>0</v>
      </c>
      <c r="L145" s="2440"/>
      <c r="M145" s="2439">
        <f>('5. T4 RAHOITUSSUUN.'!H27)/1000</f>
        <v>0</v>
      </c>
      <c r="N145" s="2440"/>
      <c r="O145" s="2439">
        <f>('5. T4 RAHOITUSSUUN.'!I27)/1000</f>
        <v>0</v>
      </c>
      <c r="P145" s="2440"/>
      <c r="Q145" s="2439">
        <f>('5. T4 RAHOITUSSUUN.'!J27)/1000</f>
        <v>0</v>
      </c>
      <c r="R145" s="2441"/>
    </row>
    <row r="146" spans="2:18" ht="12" customHeight="1" x14ac:dyDescent="0.25">
      <c r="B146" s="712" t="s">
        <v>46</v>
      </c>
      <c r="C146" s="2286" t="str">
        <f>'5. T4 RAHOITUSSUUN.'!C28</f>
        <v>Käyttöpääoman muutos (rivi 36)</v>
      </c>
      <c r="D146" s="2286"/>
      <c r="E146" s="2286"/>
      <c r="F146" s="2286"/>
      <c r="G146" s="2286"/>
      <c r="H146" s="707"/>
      <c r="I146" s="707"/>
      <c r="J146" s="713"/>
      <c r="K146" s="2439">
        <f>('5. T4 RAHOITUSSUUN.'!G28)/1000</f>
        <v>0</v>
      </c>
      <c r="L146" s="2440"/>
      <c r="M146" s="2439">
        <f>('5. T4 RAHOITUSSUUN.'!H28)/1000</f>
        <v>0</v>
      </c>
      <c r="N146" s="2440"/>
      <c r="O146" s="2439">
        <f>('5. T4 RAHOITUSSUUN.'!I28)/1000</f>
        <v>0</v>
      </c>
      <c r="P146" s="2440"/>
      <c r="Q146" s="2439">
        <f>('5. T4 RAHOITUSSUUN.'!J28)/1000</f>
        <v>0</v>
      </c>
      <c r="R146" s="2441"/>
    </row>
    <row r="147" spans="2:18" ht="12" customHeight="1" x14ac:dyDescent="0.25">
      <c r="B147" s="712" t="s">
        <v>50</v>
      </c>
      <c r="C147" s="2291" t="str">
        <f>'5. T4 RAHOITUSSUUN.'!C29</f>
        <v>Muu rahoitusomaisuuden lisäys</v>
      </c>
      <c r="D147" s="2291"/>
      <c r="E147" s="2291"/>
      <c r="F147" s="2291"/>
      <c r="G147" s="2291"/>
      <c r="H147" s="2291"/>
      <c r="I147" s="2291"/>
      <c r="J147" s="2437"/>
      <c r="K147" s="2439">
        <f>('5. T4 RAHOITUSSUUN.'!G29)/1000</f>
        <v>0</v>
      </c>
      <c r="L147" s="2440"/>
      <c r="M147" s="2439">
        <f>('5. T4 RAHOITUSSUUN.'!H29)/1000</f>
        <v>0</v>
      </c>
      <c r="N147" s="2440"/>
      <c r="O147" s="2439">
        <f>('5. T4 RAHOITUSSUUN.'!I29)/1000</f>
        <v>0</v>
      </c>
      <c r="P147" s="2440"/>
      <c r="Q147" s="2439">
        <f>('5. T4 RAHOITUSSUUN.'!J29)/1000</f>
        <v>0</v>
      </c>
      <c r="R147" s="2441"/>
    </row>
    <row r="148" spans="2:18" ht="12" customHeight="1" x14ac:dyDescent="0.25">
      <c r="B148" s="712" t="s">
        <v>54</v>
      </c>
      <c r="C148" s="2291" t="str">
        <f>'5. T4 RAHOITUSSUUN.'!C30</f>
        <v>Pitkäaikaisten rahalaitoslainojen vähennys</v>
      </c>
      <c r="D148" s="2291"/>
      <c r="E148" s="2291"/>
      <c r="F148" s="2291"/>
      <c r="G148" s="1816"/>
      <c r="H148" s="1816"/>
      <c r="I148" s="1816"/>
      <c r="J148" s="1829"/>
      <c r="K148" s="2439">
        <f>('5. T4 RAHOITUSSUUN.'!G30)/1000</f>
        <v>0</v>
      </c>
      <c r="L148" s="2440"/>
      <c r="M148" s="2439">
        <f>('5. T4 RAHOITUSSUUN.'!H30)/1000</f>
        <v>0</v>
      </c>
      <c r="N148" s="2440"/>
      <c r="O148" s="2439">
        <f>('5. T4 RAHOITUSSUUN.'!I30)/1000</f>
        <v>0</v>
      </c>
      <c r="P148" s="2440"/>
      <c r="Q148" s="2439">
        <f>('5. T4 RAHOITUSSUUN.'!J30)/1000</f>
        <v>0</v>
      </c>
      <c r="R148" s="2440"/>
    </row>
    <row r="149" spans="2:18" ht="12" customHeight="1" x14ac:dyDescent="0.25">
      <c r="B149" s="712" t="s">
        <v>56</v>
      </c>
      <c r="C149" s="2291" t="str">
        <f>'5. T4 RAHOITUSSUUN.'!C31</f>
        <v>SVOP-palautus</v>
      </c>
      <c r="D149" s="2291"/>
      <c r="E149" s="2291"/>
      <c r="F149" s="1816"/>
      <c r="G149" s="1816"/>
      <c r="H149" s="1816"/>
      <c r="I149" s="1816"/>
      <c r="J149" s="1829"/>
      <c r="K149" s="2442">
        <f>('5. T4 RAHOITUSSUUN.'!G31)/1000</f>
        <v>0</v>
      </c>
      <c r="L149" s="2443"/>
      <c r="M149" s="2439">
        <f>('5. T4 RAHOITUSSUUN.'!H31)/1000</f>
        <v>0</v>
      </c>
      <c r="N149" s="2440"/>
      <c r="O149" s="2439">
        <f>('5. T4 RAHOITUSSUUN.'!I31)/1000</f>
        <v>0</v>
      </c>
      <c r="P149" s="2440"/>
      <c r="Q149" s="2439">
        <f>('5. T4 RAHOITUSSUUN.'!J31)/1000</f>
        <v>0</v>
      </c>
      <c r="R149" s="2441"/>
    </row>
    <row r="150" spans="2:18" ht="12" customHeight="1" x14ac:dyDescent="0.25">
      <c r="B150" s="712" t="s">
        <v>58</v>
      </c>
      <c r="C150" s="2291" t="str">
        <f>'5. T4 RAHOITUSSUUN.'!C32</f>
        <v>Pääomalainojen vähennys</v>
      </c>
      <c r="D150" s="2291"/>
      <c r="E150" s="2291"/>
      <c r="F150" s="2291"/>
      <c r="G150" s="1816"/>
      <c r="H150" s="1816"/>
      <c r="I150" s="1816"/>
      <c r="J150" s="1829"/>
      <c r="K150" s="2442">
        <f>('5. T4 RAHOITUSSUUN.'!G32)/1000</f>
        <v>0</v>
      </c>
      <c r="L150" s="2443"/>
      <c r="M150" s="2439">
        <f>('5. T4 RAHOITUSSUUN.'!H32)/1000</f>
        <v>0</v>
      </c>
      <c r="N150" s="2440"/>
      <c r="O150" s="2439">
        <f>('5. T4 RAHOITUSSUUN.'!I32)/1000</f>
        <v>0</v>
      </c>
      <c r="P150" s="2440"/>
      <c r="Q150" s="2439">
        <f>('5. T4 RAHOITUSSUUN.'!J32)/1000</f>
        <v>0</v>
      </c>
      <c r="R150" s="2441"/>
    </row>
    <row r="151" spans="2:18" ht="12" customHeight="1" x14ac:dyDescent="0.25">
      <c r="B151" s="712" t="s">
        <v>66</v>
      </c>
      <c r="C151" s="2291" t="str">
        <f>'5. T4 RAHOITUSSUUN.'!C33</f>
        <v>Pitkäaikainen ostovelka, vähennys</v>
      </c>
      <c r="D151" s="2291"/>
      <c r="E151" s="2291"/>
      <c r="F151" s="1816"/>
      <c r="G151" s="1816"/>
      <c r="H151" s="1816"/>
      <c r="I151" s="1816"/>
      <c r="J151" s="1829"/>
      <c r="K151" s="2442">
        <f>('5. T4 RAHOITUSSUUN.'!G33)/1000</f>
        <v>0</v>
      </c>
      <c r="L151" s="2443"/>
      <c r="M151" s="2439">
        <f>('5. T4 RAHOITUSSUUN.'!H33)/1000</f>
        <v>0</v>
      </c>
      <c r="N151" s="2440"/>
      <c r="O151" s="2439">
        <f>('5. T4 RAHOITUSSUUN.'!I33)/1000</f>
        <v>0</v>
      </c>
      <c r="P151" s="2440"/>
      <c r="Q151" s="2439">
        <f>('5. T4 RAHOITUSSUUN.'!J33)/1000</f>
        <v>0</v>
      </c>
      <c r="R151" s="2441"/>
    </row>
    <row r="152" spans="2:18" ht="12" customHeight="1" x14ac:dyDescent="0.25">
      <c r="B152" s="712" t="s">
        <v>68</v>
      </c>
      <c r="C152" s="2286" t="str">
        <f>'5. T4 RAHOITUSSUUN.'!C34</f>
        <v>Muut pitkäaikaiset velat, vähennys</v>
      </c>
      <c r="D152" s="2286"/>
      <c r="E152" s="2286"/>
      <c r="F152" s="2286"/>
      <c r="G152" s="2286"/>
      <c r="H152" s="707"/>
      <c r="I152" s="707"/>
      <c r="J152" s="713"/>
      <c r="K152" s="2442">
        <f>('5. T4 RAHOITUSSUUN.'!G34)/1000</f>
        <v>0</v>
      </c>
      <c r="L152" s="2443"/>
      <c r="M152" s="2439">
        <f>('5. T4 RAHOITUSSUUN.'!H34)/1000</f>
        <v>0</v>
      </c>
      <c r="N152" s="2440"/>
      <c r="O152" s="2439">
        <f>('5. T4 RAHOITUSSUUN.'!I34)/1000</f>
        <v>0</v>
      </c>
      <c r="P152" s="2440"/>
      <c r="Q152" s="2439">
        <f>('5. T4 RAHOITUSSUUN.'!J34)/1000</f>
        <v>0</v>
      </c>
      <c r="R152" s="2441"/>
    </row>
    <row r="153" spans="2:18" ht="12" customHeight="1" x14ac:dyDescent="0.25">
      <c r="B153" s="712" t="s">
        <v>71</v>
      </c>
      <c r="C153" s="2286" t="str">
        <f>'5. T4 RAHOITUSSUUN.'!C35</f>
        <v>Pitkäaik. lainojen lyhennyserämuutokset</v>
      </c>
      <c r="D153" s="2286"/>
      <c r="E153" s="2286"/>
      <c r="F153" s="2286"/>
      <c r="G153" s="2286"/>
      <c r="H153" s="707"/>
      <c r="I153" s="707"/>
      <c r="J153" s="713"/>
      <c r="K153" s="2439">
        <f>('5. T4 RAHOITUSSUUN.'!G35)/1000</f>
        <v>0</v>
      </c>
      <c r="L153" s="2440"/>
      <c r="M153" s="2439">
        <f>('5. T4 RAHOITUSSUUN.'!H35)/1000</f>
        <v>0</v>
      </c>
      <c r="N153" s="2440"/>
      <c r="O153" s="2439">
        <f>('5. T4 RAHOITUSSUUN.'!I35)/1000</f>
        <v>0</v>
      </c>
      <c r="P153" s="2440"/>
      <c r="Q153" s="2439">
        <f>('5. T4 RAHOITUSSUUN.'!J35)/1000</f>
        <v>0</v>
      </c>
      <c r="R153" s="2441"/>
    </row>
    <row r="154" spans="2:18" ht="12" customHeight="1" x14ac:dyDescent="0.25">
      <c r="B154" s="712" t="s">
        <v>74</v>
      </c>
      <c r="C154" s="714" t="str">
        <f>'5. T4 RAHOITUSSUUN.'!C36</f>
        <v>Osamaksuvelkojen vähennys</v>
      </c>
      <c r="D154" s="714"/>
      <c r="E154" s="714"/>
      <c r="F154" s="714"/>
      <c r="G154" s="714"/>
      <c r="H154" s="707"/>
      <c r="I154" s="707"/>
      <c r="J154" s="713"/>
      <c r="K154" s="2439">
        <f>('5. T4 RAHOITUSSUUN.'!G36)/1000</f>
        <v>0</v>
      </c>
      <c r="L154" s="2440"/>
      <c r="M154" s="2439">
        <f>('5. T4 RAHOITUSSUUN.'!H36)/1000</f>
        <v>0</v>
      </c>
      <c r="N154" s="2440"/>
      <c r="O154" s="2439">
        <f>('5. T4 RAHOITUSSUUN.'!I36)/1000</f>
        <v>0</v>
      </c>
      <c r="P154" s="2440"/>
      <c r="Q154" s="2439">
        <f>('5. T4 RAHOITUSSUUN.'!J36)/1000</f>
        <v>0</v>
      </c>
      <c r="R154" s="2441"/>
    </row>
    <row r="155" spans="2:18" ht="12" customHeight="1" x14ac:dyDescent="0.25">
      <c r="B155" s="712" t="s">
        <v>76</v>
      </c>
      <c r="C155" s="2286" t="str">
        <f>'5. T4 RAHOITUSSUUN.'!C37</f>
        <v xml:space="preserve">Muu lyhytaik. vieraan po:n lisäys/vähennys     </v>
      </c>
      <c r="D155" s="2286"/>
      <c r="E155" s="2286"/>
      <c r="F155" s="2286"/>
      <c r="G155" s="2286"/>
      <c r="H155" s="707"/>
      <c r="I155" s="707"/>
      <c r="J155" s="713"/>
      <c r="K155" s="2439">
        <f>('5. T4 RAHOITUSSUUN.'!G37)/1000</f>
        <v>0</v>
      </c>
      <c r="L155" s="2440"/>
      <c r="M155" s="2439">
        <f>('5. T4 RAHOITUSSUUN.'!H37)/1000</f>
        <v>0</v>
      </c>
      <c r="N155" s="2440"/>
      <c r="O155" s="2439">
        <f>('5. T4 RAHOITUSSUUN.'!I37)/1000</f>
        <v>0</v>
      </c>
      <c r="P155" s="2440"/>
      <c r="Q155" s="2439">
        <f>('5. T4 RAHOITUSSUUN.'!J37)/1000</f>
        <v>0</v>
      </c>
      <c r="R155" s="2441"/>
    </row>
    <row r="156" spans="2:18" ht="12" customHeight="1" x14ac:dyDescent="0.25">
      <c r="B156" s="712" t="s">
        <v>78</v>
      </c>
      <c r="C156" s="1815" t="str">
        <f>'5. T4 RAHOITUSSUUN.'!C38</f>
        <v>Lyhytaikaisten lainojen vähennys</v>
      </c>
      <c r="D156" s="1815"/>
      <c r="E156" s="1815"/>
      <c r="F156" s="1815"/>
      <c r="G156" s="1815"/>
      <c r="H156" s="707"/>
      <c r="I156" s="707"/>
      <c r="J156" s="713"/>
      <c r="K156" s="2439">
        <f>('5. T4 RAHOITUSSUUN.'!G38)/1000</f>
        <v>0</v>
      </c>
      <c r="L156" s="2440"/>
      <c r="M156" s="2439">
        <f>('5. T4 RAHOITUSSUUN.'!H38)/1000</f>
        <v>0</v>
      </c>
      <c r="N156" s="2440"/>
      <c r="O156" s="2439">
        <f>('5. T4 RAHOITUSSUUN.'!I38)/1000</f>
        <v>0</v>
      </c>
      <c r="P156" s="2440"/>
      <c r="Q156" s="2439">
        <f>('5. T4 RAHOITUSSUUN.'!J38)/1000</f>
        <v>0</v>
      </c>
      <c r="R156" s="2441"/>
    </row>
    <row r="157" spans="2:18" ht="12" customHeight="1" x14ac:dyDescent="0.25">
      <c r="B157" s="712" t="s">
        <v>80</v>
      </c>
      <c r="C157" s="2286" t="s">
        <v>387</v>
      </c>
      <c r="D157" s="2286"/>
      <c r="E157" s="2286"/>
      <c r="F157" s="2286"/>
      <c r="G157" s="2286"/>
      <c r="H157" s="707"/>
      <c r="I157" s="707"/>
      <c r="J157" s="713"/>
      <c r="K157" s="2439">
        <f>('5. T4 RAHOITUSSUUN.'!G39)/1000</f>
        <v>0</v>
      </c>
      <c r="L157" s="2440"/>
      <c r="M157" s="2439">
        <f>('5. T4 RAHOITUSSUUN.'!H39)/1000</f>
        <v>0</v>
      </c>
      <c r="N157" s="2440"/>
      <c r="O157" s="2439">
        <f>('5. T4 RAHOITUSSUUN.'!I39)/1000</f>
        <v>0</v>
      </c>
      <c r="P157" s="2440"/>
      <c r="Q157" s="2439">
        <f>('5. T4 RAHOITUSSUUN.'!J39)/1000</f>
        <v>0</v>
      </c>
      <c r="R157" s="2441"/>
    </row>
    <row r="158" spans="2:18" ht="12" customHeight="1" x14ac:dyDescent="0.25">
      <c r="B158" s="712" t="s">
        <v>82</v>
      </c>
      <c r="C158" s="2286" t="s">
        <v>390</v>
      </c>
      <c r="D158" s="2286"/>
      <c r="E158" s="2286"/>
      <c r="F158" s="2286"/>
      <c r="G158" s="2286"/>
      <c r="H158" s="707"/>
      <c r="I158" s="707"/>
      <c r="J158" s="713"/>
      <c r="K158" s="2439">
        <f>('5. T4 RAHOITUSSUUN.'!G40)/1000</f>
        <v>0</v>
      </c>
      <c r="L158" s="2440"/>
      <c r="M158" s="2439">
        <f>('5. T4 RAHOITUSSUUN.'!H40)/1000</f>
        <v>0</v>
      </c>
      <c r="N158" s="2440"/>
      <c r="O158" s="2439">
        <f>('5. T4 RAHOITUSSUUN.'!I40)/1000</f>
        <v>0</v>
      </c>
      <c r="P158" s="2440"/>
      <c r="Q158" s="2439">
        <f>('5. T4 RAHOITUSSUUN.'!J40)/1000</f>
        <v>0</v>
      </c>
      <c r="R158" s="2441"/>
    </row>
    <row r="159" spans="2:18" ht="12" customHeight="1" x14ac:dyDescent="0.25">
      <c r="B159" s="712" t="s">
        <v>84</v>
      </c>
      <c r="C159" s="715" t="s">
        <v>261</v>
      </c>
      <c r="D159" s="715"/>
      <c r="E159" s="715"/>
      <c r="F159" s="715"/>
      <c r="G159" s="716"/>
      <c r="H159" s="706"/>
      <c r="I159" s="706"/>
      <c r="J159" s="717"/>
      <c r="K159" s="2454">
        <f>('5. T4 RAHOITUSSUUN.'!G41)/1000</f>
        <v>0</v>
      </c>
      <c r="L159" s="2455"/>
      <c r="M159" s="2454">
        <f>('5. T4 RAHOITUSSUUN.'!H41)/1000</f>
        <v>0</v>
      </c>
      <c r="N159" s="2455"/>
      <c r="O159" s="2454">
        <f>('5. T4 RAHOITUSSUUN.'!I41)/1000</f>
        <v>0</v>
      </c>
      <c r="P159" s="2455"/>
      <c r="Q159" s="2454">
        <f>('5. T4 RAHOITUSSUUN.'!J41)/1000</f>
        <v>0</v>
      </c>
      <c r="R159" s="2475"/>
    </row>
    <row r="160" spans="2:18" ht="12" customHeight="1" x14ac:dyDescent="0.25">
      <c r="B160" s="712" t="s">
        <v>389</v>
      </c>
      <c r="C160" s="714" t="s">
        <v>664</v>
      </c>
      <c r="D160" s="714"/>
      <c r="E160" s="714"/>
      <c r="F160" s="714"/>
      <c r="G160" s="714"/>
      <c r="H160" s="707"/>
      <c r="I160" s="707"/>
      <c r="J160" s="713"/>
      <c r="K160" s="2439">
        <f>('5. T4 RAHOITUSSUUN.'!G42)/1000</f>
        <v>0</v>
      </c>
      <c r="L160" s="2440"/>
      <c r="M160" s="2439">
        <f>('5. T4 RAHOITUSSUUN.'!H42)/1000</f>
        <v>0</v>
      </c>
      <c r="N160" s="2440"/>
      <c r="O160" s="2439">
        <f>('5. T4 RAHOITUSSUUN.'!I42)/1000</f>
        <v>0</v>
      </c>
      <c r="P160" s="2440"/>
      <c r="Q160" s="2439">
        <f>('5. T4 RAHOITUSSUUN.'!J42)/1000</f>
        <v>0</v>
      </c>
      <c r="R160" s="2441"/>
    </row>
    <row r="161" spans="1:18" ht="12" customHeight="1" x14ac:dyDescent="0.25">
      <c r="B161" s="725" t="s">
        <v>392</v>
      </c>
      <c r="C161" s="1507" t="s">
        <v>398</v>
      </c>
      <c r="D161" s="1507"/>
      <c r="E161" s="1507"/>
      <c r="F161" s="1507"/>
      <c r="G161" s="1428">
        <v>0</v>
      </c>
      <c r="H161" s="703"/>
      <c r="I161" s="703"/>
      <c r="J161" s="703"/>
      <c r="K161" s="2454">
        <f>('5. T4 RAHOITUSSUUN.'!G43)/1000</f>
        <v>0</v>
      </c>
      <c r="L161" s="2455"/>
      <c r="M161" s="2454">
        <f>('5. T4 RAHOITUSSUUN.'!H43)/1000</f>
        <v>0</v>
      </c>
      <c r="N161" s="2455"/>
      <c r="O161" s="2454">
        <f>('5. T4 RAHOITUSSUUN.'!I43)/1000</f>
        <v>0</v>
      </c>
      <c r="P161" s="2455"/>
      <c r="Q161" s="2454">
        <f>('5. T4 RAHOITUSSUUN.'!J43)/1000</f>
        <v>0</v>
      </c>
      <c r="R161" s="2475"/>
    </row>
    <row r="162" spans="1:18" ht="12" customHeight="1" x14ac:dyDescent="0.25">
      <c r="B162" s="114"/>
      <c r="C162" s="504"/>
      <c r="D162" s="504"/>
      <c r="E162" s="504"/>
      <c r="F162" s="504"/>
      <c r="G162" s="513"/>
      <c r="H162" s="459"/>
      <c r="I162" s="459"/>
      <c r="J162" s="459"/>
      <c r="K162" s="835"/>
      <c r="L162" s="835"/>
      <c r="M162" s="835"/>
      <c r="N162" s="835"/>
      <c r="O162" s="835"/>
      <c r="P162" s="835"/>
      <c r="Q162" s="835"/>
      <c r="R162" s="835"/>
    </row>
    <row r="163" spans="1:18" ht="12" customHeight="1" x14ac:dyDescent="0.25">
      <c r="B163" s="434" t="str">
        <f>OHJE!F6</f>
        <v>Palvelun tarjoavat</v>
      </c>
      <c r="C163" s="432"/>
      <c r="D163" s="432"/>
      <c r="E163" s="432"/>
      <c r="F163" s="432"/>
      <c r="G163" s="433"/>
      <c r="H163" s="433"/>
      <c r="I163" s="433"/>
      <c r="J163" s="433"/>
      <c r="K163" s="433"/>
      <c r="L163" s="433"/>
      <c r="M163" s="433"/>
      <c r="N163" s="433"/>
      <c r="O163" s="433"/>
      <c r="P163" s="433"/>
      <c r="Q163" s="433"/>
      <c r="R163" s="741"/>
    </row>
    <row r="164" spans="1:18" x14ac:dyDescent="0.25">
      <c r="B164" s="2215" t="str">
        <f>OHJE!G8</f>
        <v>Iisalmi, Lapinlahti, Sonkajärvi, Vieremä</v>
      </c>
      <c r="C164" s="2215"/>
      <c r="D164" s="2215"/>
      <c r="E164" s="2215"/>
      <c r="F164" s="2215"/>
      <c r="G164" s="2215"/>
      <c r="H164" s="2215"/>
      <c r="I164" s="2215"/>
      <c r="J164" s="2215"/>
      <c r="K164" s="2215"/>
      <c r="L164" s="2215"/>
      <c r="M164" s="2215"/>
      <c r="N164" s="76"/>
      <c r="O164" s="76"/>
      <c r="P164" s="76"/>
      <c r="Q164" s="76"/>
      <c r="R164" s="76" t="s">
        <v>5</v>
      </c>
    </row>
    <row r="165" spans="1:18" ht="12" customHeight="1" x14ac:dyDescent="0.25">
      <c r="B165" s="114"/>
      <c r="C165" s="504"/>
      <c r="D165" s="504"/>
      <c r="E165" s="504"/>
      <c r="F165" s="504"/>
      <c r="G165" s="513"/>
      <c r="H165" s="459"/>
      <c r="I165" s="459"/>
      <c r="J165" s="459"/>
      <c r="K165" s="738"/>
      <c r="L165" s="738"/>
      <c r="M165" s="738"/>
      <c r="N165" s="738"/>
      <c r="O165" s="738"/>
      <c r="P165" s="738"/>
      <c r="Q165" s="738"/>
      <c r="R165" s="738"/>
    </row>
    <row r="166" spans="1:18" ht="11.25" customHeight="1" x14ac:dyDescent="0.25">
      <c r="B166" s="161" t="s">
        <v>3</v>
      </c>
      <c r="C166" s="535" t="s">
        <v>3</v>
      </c>
      <c r="F166" s="116"/>
      <c r="G166" s="113"/>
      <c r="H166" s="113"/>
      <c r="I166" s="113"/>
      <c r="J166" s="113"/>
      <c r="L166" s="113"/>
      <c r="M166" s="2464"/>
      <c r="N166" s="2465"/>
      <c r="O166" s="628"/>
      <c r="P166" s="628"/>
      <c r="Q166" s="1818"/>
      <c r="R166" s="121"/>
    </row>
    <row r="167" spans="1:18" ht="11.25" customHeight="1" x14ac:dyDescent="0.25">
      <c r="B167" s="2218">
        <f>B7</f>
        <v>0</v>
      </c>
      <c r="C167" s="2218"/>
      <c r="D167" s="2218"/>
      <c r="E167" s="2218"/>
      <c r="F167" s="2218"/>
      <c r="G167" s="2218"/>
      <c r="H167" s="2218"/>
      <c r="I167" s="2218"/>
      <c r="J167" s="2218"/>
      <c r="L167" s="628"/>
      <c r="M167" s="2478"/>
      <c r="N167" s="2478"/>
      <c r="O167" s="628"/>
      <c r="P167" s="628"/>
      <c r="Q167" s="1818"/>
      <c r="R167" s="121"/>
    </row>
    <row r="168" spans="1:18" ht="11.25" customHeight="1" x14ac:dyDescent="0.25">
      <c r="B168" s="161"/>
      <c r="C168" s="535"/>
      <c r="F168" s="459"/>
      <c r="G168" s="428"/>
      <c r="H168" s="627"/>
      <c r="I168" s="628"/>
      <c r="J168" s="628"/>
      <c r="L168" s="628"/>
      <c r="M168" s="1830"/>
      <c r="N168" s="1830"/>
      <c r="O168" s="628"/>
      <c r="P168" s="628"/>
      <c r="Q168" s="1818"/>
      <c r="R168" s="121"/>
    </row>
    <row r="169" spans="1:18" ht="11.25" customHeight="1" x14ac:dyDescent="0.25">
      <c r="A169">
        <v>0</v>
      </c>
      <c r="B169" s="434"/>
      <c r="C169" s="435"/>
      <c r="D169" s="435"/>
      <c r="E169" s="435"/>
      <c r="F169" s="435"/>
      <c r="G169" s="436"/>
      <c r="H169" s="428"/>
      <c r="I169" s="627"/>
      <c r="J169" s="628"/>
      <c r="K169" s="628"/>
      <c r="L169" s="628"/>
      <c r="M169" s="628"/>
      <c r="N169" s="628"/>
      <c r="O169" s="628"/>
      <c r="P169" s="628"/>
      <c r="Q169" s="1818"/>
      <c r="R169" s="121"/>
    </row>
    <row r="170" spans="1:18" ht="11.25" customHeight="1" x14ac:dyDescent="0.25">
      <c r="B170" s="2266" t="s">
        <v>665</v>
      </c>
      <c r="C170" s="2267"/>
      <c r="D170" s="2267"/>
      <c r="E170" s="2267"/>
      <c r="F170" s="2267"/>
      <c r="G170" s="2267"/>
      <c r="H170" s="2267"/>
      <c r="I170" s="1424"/>
      <c r="J170" s="1424"/>
      <c r="K170" s="2444" t="str">
        <f>K133</f>
        <v>Ennuste 1</v>
      </c>
      <c r="L170" s="2445"/>
      <c r="M170" s="2444" t="str">
        <f>M133</f>
        <v>Ennuste 2</v>
      </c>
      <c r="N170" s="2445"/>
      <c r="O170" s="2444" t="str">
        <f>O133</f>
        <v>Ennuste 3</v>
      </c>
      <c r="P170" s="2445"/>
      <c r="Q170" s="2444" t="str">
        <f>Q133</f>
        <v>Ennuste 4</v>
      </c>
      <c r="R170" s="2445"/>
    </row>
    <row r="171" spans="1:18" ht="11.25" customHeight="1" x14ac:dyDescent="0.25">
      <c r="B171" s="2268"/>
      <c r="C171" s="2269"/>
      <c r="D171" s="2269"/>
      <c r="E171" s="2269"/>
      <c r="F171" s="2269"/>
      <c r="G171" s="2269"/>
      <c r="H171" s="2269"/>
      <c r="I171" s="1495"/>
      <c r="J171" s="1495"/>
      <c r="K171" s="2474">
        <f>K134</f>
        <v>2024</v>
      </c>
      <c r="L171" s="2396"/>
      <c r="M171" s="2474">
        <f>M134</f>
        <v>2025</v>
      </c>
      <c r="N171" s="2396"/>
      <c r="O171" s="2474">
        <f>O134</f>
        <v>2026</v>
      </c>
      <c r="P171" s="2396"/>
      <c r="Q171" s="2474">
        <f>Q134</f>
        <v>2027</v>
      </c>
      <c r="R171" s="2396"/>
    </row>
    <row r="172" spans="1:18" ht="12" customHeight="1" x14ac:dyDescent="0.25">
      <c r="B172" s="1425" t="s">
        <v>392</v>
      </c>
      <c r="C172" s="1800" t="str">
        <f>'5. T4 RAHOITUSSUUN.'!C47</f>
        <v>Vaihto-omaisuus</v>
      </c>
      <c r="D172" s="1800"/>
      <c r="E172" s="1800"/>
      <c r="F172" s="1800"/>
      <c r="G172" s="513"/>
      <c r="H172" s="459"/>
      <c r="I172" s="1421"/>
      <c r="J172" s="1422" t="s">
        <v>345</v>
      </c>
      <c r="K172" s="2462">
        <f>'5. T4 RAHOITUSSUUN.'!G47/1000</f>
        <v>0</v>
      </c>
      <c r="L172" s="2463"/>
      <c r="M172" s="2462">
        <f>'5. T4 RAHOITUSSUUN.'!H47/1000</f>
        <v>0</v>
      </c>
      <c r="N172" s="2463"/>
      <c r="O172" s="2462">
        <f>'5. T4 RAHOITUSSUUN.'!I47/1000</f>
        <v>0</v>
      </c>
      <c r="P172" s="2463"/>
      <c r="Q172" s="2462">
        <f>'5. T4 RAHOITUSSUUN.'!J47/1000</f>
        <v>0</v>
      </c>
      <c r="R172" s="2463"/>
    </row>
    <row r="173" spans="1:18" ht="12" customHeight="1" x14ac:dyDescent="0.25">
      <c r="B173" s="718"/>
      <c r="C173" s="2292" t="str">
        <f>'5. T4 RAHOITUSSUUN.'!C48</f>
        <v>Vaihto-omaisuus/liikevaihto (%)</v>
      </c>
      <c r="D173" s="2292"/>
      <c r="E173" s="2292"/>
      <c r="F173" s="2292"/>
      <c r="G173" s="2292"/>
      <c r="H173" s="2292"/>
      <c r="I173" s="2292"/>
      <c r="J173" s="702"/>
      <c r="K173" s="2460">
        <f>'5. T4 RAHOITUSSUUN.'!G48</f>
        <v>0</v>
      </c>
      <c r="L173" s="2461"/>
      <c r="M173" s="2460">
        <f>'5. T4 RAHOITUSSUUN.'!H48</f>
        <v>0</v>
      </c>
      <c r="N173" s="2461"/>
      <c r="O173" s="2460">
        <f>'5. T4 RAHOITUSSUUN.'!I48</f>
        <v>0</v>
      </c>
      <c r="P173" s="2461"/>
      <c r="Q173" s="2460">
        <f>'5. T4 RAHOITUSSUUN.'!J48</f>
        <v>0</v>
      </c>
      <c r="R173" s="2461"/>
    </row>
    <row r="174" spans="1:18" ht="12" customHeight="1" x14ac:dyDescent="0.25">
      <c r="B174" s="1426" t="s">
        <v>394</v>
      </c>
      <c r="C174" s="1815" t="str">
        <f>'5. T4 RAHOITUSSUUN.'!C49</f>
        <v>Myyntisaamiset</v>
      </c>
      <c r="D174" s="1815"/>
      <c r="E174" s="1815"/>
      <c r="F174" s="1815"/>
      <c r="G174" s="719"/>
      <c r="H174" s="706"/>
      <c r="I174" s="720"/>
      <c r="J174" s="721" t="s">
        <v>345</v>
      </c>
      <c r="K174" s="2446">
        <f>'5. T4 RAHOITUSSUUN.'!G49/1000</f>
        <v>0</v>
      </c>
      <c r="L174" s="2447"/>
      <c r="M174" s="2446">
        <f>'5. T4 RAHOITUSSUUN.'!H49/1000</f>
        <v>0</v>
      </c>
      <c r="N174" s="2447"/>
      <c r="O174" s="2446">
        <f>'5. T4 RAHOITUSSUUN.'!I49/1000</f>
        <v>0</v>
      </c>
      <c r="P174" s="2447"/>
      <c r="Q174" s="2446">
        <f>'5. T4 RAHOITUSSUUN.'!J49/1000</f>
        <v>0</v>
      </c>
      <c r="R174" s="2447"/>
    </row>
    <row r="175" spans="1:18" ht="12" customHeight="1" x14ac:dyDescent="0.25">
      <c r="B175" s="718"/>
      <c r="C175" s="2293" t="str">
        <f>'5. T4 RAHOITUSSUUN.'!C50</f>
        <v>Myyntisaamisten kiertonopeus (pv)</v>
      </c>
      <c r="D175" s="2293"/>
      <c r="E175" s="2293"/>
      <c r="F175" s="2293"/>
      <c r="G175" s="2293"/>
      <c r="H175" s="2293"/>
      <c r="I175" s="2293"/>
      <c r="J175" s="1423"/>
      <c r="K175" s="2476">
        <f>'5. T4 RAHOITUSSUUN.'!G50</f>
        <v>14</v>
      </c>
      <c r="L175" s="2477"/>
      <c r="M175" s="2476">
        <f>'5. T4 RAHOITUSSUUN.'!H50</f>
        <v>14</v>
      </c>
      <c r="N175" s="2477"/>
      <c r="O175" s="2476">
        <f>'5. T4 RAHOITUSSUUN.'!I50</f>
        <v>14</v>
      </c>
      <c r="P175" s="2477"/>
      <c r="Q175" s="2476">
        <f>'5. T4 RAHOITUSSUUN.'!J50</f>
        <v>14</v>
      </c>
      <c r="R175" s="2477"/>
    </row>
    <row r="176" spans="1:18" ht="12" customHeight="1" x14ac:dyDescent="0.25">
      <c r="B176" s="1426" t="s">
        <v>397</v>
      </c>
      <c r="C176" s="1815" t="str">
        <f>'5. T4 RAHOITUSSUUN.'!C51</f>
        <v>Muut saamiset</v>
      </c>
      <c r="D176" s="1815"/>
      <c r="E176" s="1815"/>
      <c r="F176" s="1815"/>
      <c r="G176" s="719"/>
      <c r="H176" s="706"/>
      <c r="I176" s="720"/>
      <c r="J176" s="721" t="s">
        <v>345</v>
      </c>
      <c r="K176" s="2446">
        <f>'5. T4 RAHOITUSSUUN.'!G51/1000</f>
        <v>0</v>
      </c>
      <c r="L176" s="2447"/>
      <c r="M176" s="2446">
        <f>'5. T4 RAHOITUSSUUN.'!H51/1000</f>
        <v>0</v>
      </c>
      <c r="N176" s="2447"/>
      <c r="O176" s="2446">
        <f>'5. T4 RAHOITUSSUUN.'!I51/1000</f>
        <v>0</v>
      </c>
      <c r="P176" s="2447"/>
      <c r="Q176" s="2446">
        <f>'5. T4 RAHOITUSSUUN.'!J51/1000</f>
        <v>0</v>
      </c>
      <c r="R176" s="2447"/>
    </row>
    <row r="177" spans="1:22" ht="12" customHeight="1" x14ac:dyDescent="0.25">
      <c r="B177" s="1426" t="s">
        <v>404</v>
      </c>
      <c r="C177" s="1815" t="str">
        <f>'5. T4 RAHOITUSSUUN.'!C52</f>
        <v>Siirtosaamiset</v>
      </c>
      <c r="D177" s="1815"/>
      <c r="E177" s="1815"/>
      <c r="F177" s="1815"/>
      <c r="G177" s="719"/>
      <c r="H177" s="706"/>
      <c r="I177" s="720"/>
      <c r="J177" s="721" t="s">
        <v>345</v>
      </c>
      <c r="K177" s="2446">
        <f>'5. T4 RAHOITUSSUUN.'!G52/1000</f>
        <v>0</v>
      </c>
      <c r="L177" s="2447"/>
      <c r="M177" s="2446">
        <f>'5. T4 RAHOITUSSUUN.'!H52/1000</f>
        <v>0</v>
      </c>
      <c r="N177" s="2447"/>
      <c r="O177" s="2446">
        <f>'5. T4 RAHOITUSSUUN.'!I52/1000</f>
        <v>0</v>
      </c>
      <c r="P177" s="2447"/>
      <c r="Q177" s="2446">
        <f>'5. T4 RAHOITUSSUUN.'!J52/1000</f>
        <v>0</v>
      </c>
      <c r="R177" s="2447"/>
    </row>
    <row r="178" spans="1:22" ht="12" customHeight="1" x14ac:dyDescent="0.25">
      <c r="B178" s="1426" t="s">
        <v>409</v>
      </c>
      <c r="C178" s="1815" t="str" cm="1">
        <f t="array" ref="C178:D178">'5. T4 RAHOITUSSUUN.'!C53:D53</f>
        <v>Osatuloutuksen saamiset</v>
      </c>
      <c r="D178" s="1815">
        <v>0</v>
      </c>
      <c r="E178" s="1815"/>
      <c r="F178" s="1815"/>
      <c r="G178" s="719"/>
      <c r="H178" s="706"/>
      <c r="I178" s="720"/>
      <c r="J178" s="721" t="s">
        <v>345</v>
      </c>
      <c r="K178" s="2446">
        <f>'5. T4 RAHOITUSSUUN.'!G53/1000</f>
        <v>0</v>
      </c>
      <c r="L178" s="2447"/>
      <c r="M178" s="2446">
        <f>'5. T4 RAHOITUSSUUN.'!H53/1000</f>
        <v>0</v>
      </c>
      <c r="N178" s="2447"/>
      <c r="O178" s="2446">
        <f>'5. T4 RAHOITUSSUUN.'!I53/1000</f>
        <v>0</v>
      </c>
      <c r="P178" s="2447"/>
      <c r="Q178" s="2446">
        <f>'5. T4 RAHOITUSSUUN.'!J53/1000</f>
        <v>0</v>
      </c>
      <c r="R178" s="2447"/>
    </row>
    <row r="179" spans="1:22" ht="12" customHeight="1" x14ac:dyDescent="0.25">
      <c r="B179" s="1426"/>
      <c r="C179" s="2292" t="str">
        <f>'5. T4 RAHOITUSSUUN.'!C54</f>
        <v>Osatuloutukset, osuus liikevaihdosta (%)</v>
      </c>
      <c r="D179" s="2292"/>
      <c r="E179" s="2292"/>
      <c r="F179" s="2292"/>
      <c r="G179" s="2292"/>
      <c r="H179" s="2292"/>
      <c r="I179" s="2292"/>
      <c r="J179" s="702"/>
      <c r="K179" s="2460">
        <f>'5. T4 RAHOITUSSUUN.'!G54</f>
        <v>0</v>
      </c>
      <c r="L179" s="2461"/>
      <c r="M179" s="2460">
        <f>'5. T4 RAHOITUSSUUN.'!H54</f>
        <v>0</v>
      </c>
      <c r="N179" s="2461"/>
      <c r="O179" s="2460">
        <f>'5. T4 RAHOITUSSUUN.'!I54</f>
        <v>0</v>
      </c>
      <c r="P179" s="2461"/>
      <c r="Q179" s="2460">
        <f>'5. T4 RAHOITUSSUUN.'!J54</f>
        <v>0</v>
      </c>
      <c r="R179" s="2461"/>
    </row>
    <row r="180" spans="1:22" ht="12" customHeight="1" x14ac:dyDescent="0.25">
      <c r="B180" s="1426" t="s">
        <v>413</v>
      </c>
      <c r="C180" s="1815" t="str">
        <f>'5. T4 RAHOITUSSUUN.'!C55</f>
        <v>Ostovelat</v>
      </c>
      <c r="D180" s="1815"/>
      <c r="E180" s="1815"/>
      <c r="F180" s="1815"/>
      <c r="G180" s="719"/>
      <c r="H180" s="706"/>
      <c r="I180" s="720"/>
      <c r="J180" s="721" t="s">
        <v>422</v>
      </c>
      <c r="K180" s="2472">
        <f>'5. T4 RAHOITUSSUUN.'!G55/1000</f>
        <v>0</v>
      </c>
      <c r="L180" s="2473"/>
      <c r="M180" s="2472">
        <f>'5. T4 RAHOITUSSUUN.'!H55/1000</f>
        <v>0</v>
      </c>
      <c r="N180" s="2473"/>
      <c r="O180" s="2472">
        <f>'5. T4 RAHOITUSSUUN.'!I55/1000</f>
        <v>0</v>
      </c>
      <c r="P180" s="2473"/>
      <c r="Q180" s="2472">
        <f>'5. T4 RAHOITUSSUUN.'!J55/1000</f>
        <v>0</v>
      </c>
      <c r="R180" s="2473"/>
    </row>
    <row r="181" spans="1:22" ht="12" customHeight="1" x14ac:dyDescent="0.25">
      <c r="B181" s="1426"/>
      <c r="C181" s="2292" t="str">
        <f>'5. T4 RAHOITUSSUUN.'!C56</f>
        <v>Ostovelkojen kiertonopeus (pv)</v>
      </c>
      <c r="D181" s="2292"/>
      <c r="E181" s="2292"/>
      <c r="F181" s="2292"/>
      <c r="G181" s="2292"/>
      <c r="H181" s="2292"/>
      <c r="I181" s="2292"/>
      <c r="J181" s="702"/>
      <c r="K181" s="2470">
        <f>'5. T4 RAHOITUSSUUN.'!G56</f>
        <v>14</v>
      </c>
      <c r="L181" s="2471"/>
      <c r="M181" s="2470">
        <f>'5. T4 RAHOITUSSUUN.'!H56</f>
        <v>14</v>
      </c>
      <c r="N181" s="2471"/>
      <c r="O181" s="2470">
        <f>'5. T4 RAHOITUSSUUN.'!I56</f>
        <v>14</v>
      </c>
      <c r="P181" s="2471"/>
      <c r="Q181" s="2470">
        <f>'5. T4 RAHOITUSSUUN.'!J56</f>
        <v>14</v>
      </c>
      <c r="R181" s="2471"/>
      <c r="V181">
        <v>0</v>
      </c>
    </row>
    <row r="182" spans="1:22" ht="12" customHeight="1" x14ac:dyDescent="0.25">
      <c r="B182" s="1426" t="s">
        <v>415</v>
      </c>
      <c r="C182" s="1815" t="str">
        <f>'5. T4 RAHOITUSSUUN.'!C57</f>
        <v>Saadut ennakot</v>
      </c>
      <c r="D182" s="1815"/>
      <c r="E182" s="1815"/>
      <c r="F182" s="1815"/>
      <c r="G182" s="719"/>
      <c r="H182" s="706"/>
      <c r="I182" s="720"/>
      <c r="J182" s="721" t="s">
        <v>422</v>
      </c>
      <c r="K182" s="2446">
        <f>'5. T4 RAHOITUSSUUN.'!G57/1000</f>
        <v>0</v>
      </c>
      <c r="L182" s="2447"/>
      <c r="M182" s="2446">
        <f>'5. T4 RAHOITUSSUUN.'!H57/1000</f>
        <v>0</v>
      </c>
      <c r="N182" s="2447"/>
      <c r="O182" s="2446">
        <f>'5. T4 RAHOITUSSUUN.'!I57/1000</f>
        <v>0</v>
      </c>
      <c r="P182" s="2447"/>
      <c r="Q182" s="2446">
        <f>'5. T4 RAHOITUSSUUN.'!J57/1000</f>
        <v>0</v>
      </c>
      <c r="R182" s="2447"/>
    </row>
    <row r="183" spans="1:22" ht="12" customHeight="1" x14ac:dyDescent="0.25">
      <c r="B183" s="1426"/>
      <c r="C183" s="2292" t="str">
        <f>'5. T4 RAHOITUSSUUN.'!C58</f>
        <v xml:space="preserve">Saadut ennakot, osuus liikevaihdosta (%) </v>
      </c>
      <c r="D183" s="2292"/>
      <c r="E183" s="2292"/>
      <c r="F183" s="2292"/>
      <c r="G183" s="2292"/>
      <c r="H183" s="2292"/>
      <c r="I183" s="2292"/>
      <c r="J183" s="822"/>
      <c r="K183" s="2460">
        <f>'5. T4 RAHOITUSSUUN.'!G58</f>
        <v>0</v>
      </c>
      <c r="L183" s="2461"/>
      <c r="M183" s="2460">
        <f>'5. T4 RAHOITUSSUUN.'!H58</f>
        <v>0</v>
      </c>
      <c r="N183" s="2461"/>
      <c r="O183" s="2460">
        <f>'5. T4 RAHOITUSSUUN.'!I58</f>
        <v>0</v>
      </c>
      <c r="P183" s="2461"/>
      <c r="Q183" s="2460">
        <f>'5. T4 RAHOITUSSUUN.'!J58</f>
        <v>0</v>
      </c>
      <c r="R183" s="2461"/>
    </row>
    <row r="184" spans="1:22" ht="12" customHeight="1" x14ac:dyDescent="0.25">
      <c r="B184" s="1426" t="s">
        <v>417</v>
      </c>
      <c r="C184" s="1815" t="str">
        <f>'5. T4 RAHOITUSSUUN.'!C59</f>
        <v xml:space="preserve">Käyttöpääoma </v>
      </c>
      <c r="D184" s="1815"/>
      <c r="E184" s="1815"/>
      <c r="F184" s="1815"/>
      <c r="G184" s="719"/>
      <c r="H184" s="706"/>
      <c r="I184" s="720"/>
      <c r="J184" s="721" t="s">
        <v>429</v>
      </c>
      <c r="K184" s="2446">
        <f>'5. T4 RAHOITUSSUUN.'!G59/1000</f>
        <v>0</v>
      </c>
      <c r="L184" s="2447"/>
      <c r="M184" s="2446">
        <f>'5. T4 RAHOITUSSUUN.'!H59/1000</f>
        <v>0</v>
      </c>
      <c r="N184" s="2447"/>
      <c r="O184" s="2446">
        <f>'5. T4 RAHOITUSSUUN.'!I59/1000</f>
        <v>0</v>
      </c>
      <c r="P184" s="2447"/>
      <c r="Q184" s="2446">
        <f>'5. T4 RAHOITUSSUUN.'!J59/1000</f>
        <v>0</v>
      </c>
      <c r="R184" s="2447"/>
    </row>
    <row r="185" spans="1:22" ht="12" customHeight="1" x14ac:dyDescent="0.25">
      <c r="B185" s="1427" t="s">
        <v>420</v>
      </c>
      <c r="C185" s="1301" t="str">
        <f>'5. T4 RAHOITUSSUUN.'!C60</f>
        <v>Käyttöpääoman muutos</v>
      </c>
      <c r="D185" s="1301"/>
      <c r="E185" s="1301"/>
      <c r="F185" s="1301"/>
      <c r="G185" s="1428"/>
      <c r="H185" s="703"/>
      <c r="I185" s="1429"/>
      <c r="J185" s="1430" t="s">
        <v>370</v>
      </c>
      <c r="K185" s="2456" t="s">
        <v>3</v>
      </c>
      <c r="L185" s="2457"/>
      <c r="M185" s="2458">
        <f>'5. T4 RAHOITUSSUUN.'!H60/1000</f>
        <v>0</v>
      </c>
      <c r="N185" s="2459"/>
      <c r="O185" s="2458">
        <f>'5. T4 RAHOITUSSUUN.'!I60/1000</f>
        <v>0</v>
      </c>
      <c r="P185" s="2459"/>
      <c r="Q185" s="2458">
        <f>'5. T4 RAHOITUSSUUN.'!J60/1000</f>
        <v>0</v>
      </c>
      <c r="R185" s="2459"/>
    </row>
    <row r="186" spans="1:22" ht="12" customHeight="1" x14ac:dyDescent="0.25">
      <c r="B186" s="809"/>
      <c r="C186" s="809"/>
      <c r="D186" s="809"/>
      <c r="E186" s="809"/>
      <c r="F186" s="809"/>
      <c r="G186" s="810"/>
      <c r="H186" s="811"/>
      <c r="I186" s="812"/>
      <c r="J186" s="813"/>
      <c r="K186" s="814"/>
      <c r="L186" s="814"/>
      <c r="M186" s="814"/>
      <c r="N186" s="814"/>
      <c r="O186" s="814"/>
      <c r="P186" s="814"/>
      <c r="Q186" s="814"/>
      <c r="R186" s="814"/>
    </row>
    <row r="187" spans="1:22" ht="11.25" customHeight="1" x14ac:dyDescent="0.25">
      <c r="B187" s="434"/>
      <c r="C187" s="435"/>
      <c r="D187" s="435"/>
      <c r="E187" s="435"/>
      <c r="F187" s="435"/>
      <c r="G187" s="436"/>
      <c r="H187" s="428"/>
      <c r="I187" s="627"/>
      <c r="J187" s="628"/>
      <c r="K187" s="628"/>
      <c r="L187" s="628"/>
      <c r="M187" s="628"/>
      <c r="N187" s="628"/>
      <c r="O187" s="628"/>
      <c r="P187" s="628"/>
      <c r="Q187" s="1818"/>
      <c r="R187" s="121"/>
    </row>
    <row r="188" spans="1:22" ht="11.25" customHeight="1" x14ac:dyDescent="0.25">
      <c r="B188" s="161" t="s">
        <v>666</v>
      </c>
      <c r="C188" s="67"/>
      <c r="G188" s="428"/>
      <c r="H188" s="627"/>
      <c r="I188" s="628"/>
      <c r="J188" s="628"/>
      <c r="L188" s="628"/>
      <c r="O188" s="628"/>
      <c r="P188" s="628"/>
      <c r="Q188" s="1818"/>
      <c r="R188" s="121"/>
    </row>
    <row r="189" spans="1:22" ht="11.25" customHeight="1" x14ac:dyDescent="0.25">
      <c r="A189">
        <v>0</v>
      </c>
      <c r="B189" s="434"/>
      <c r="C189" s="435"/>
      <c r="D189" s="435"/>
      <c r="E189" s="435"/>
      <c r="F189" s="435"/>
      <c r="G189" s="436"/>
      <c r="H189" s="428"/>
      <c r="I189" s="627"/>
      <c r="J189" s="628"/>
      <c r="K189" s="628"/>
      <c r="L189" s="628"/>
      <c r="M189" s="628"/>
      <c r="N189" s="628"/>
      <c r="O189" s="628"/>
      <c r="P189" s="628"/>
      <c r="Q189" s="1818"/>
      <c r="R189" s="121"/>
    </row>
    <row r="190" spans="1:22" ht="11.25" customHeight="1" x14ac:dyDescent="0.25">
      <c r="B190" s="2301" t="s">
        <v>667</v>
      </c>
      <c r="C190" s="2302"/>
      <c r="D190" s="2487" t="s">
        <v>668</v>
      </c>
      <c r="E190" s="2466" t="s">
        <v>669</v>
      </c>
      <c r="F190" s="2468" t="s">
        <v>62</v>
      </c>
      <c r="G190" s="2489" t="s">
        <v>19</v>
      </c>
      <c r="H190" s="2490"/>
      <c r="I190" s="2491"/>
      <c r="J190" s="2244" t="str">
        <f>'2. T7 LAINAT'!I9</f>
        <v>Ennuste 2</v>
      </c>
      <c r="K190" s="2244"/>
      <c r="L190" s="2244"/>
      <c r="M190" s="2495" t="s">
        <v>21</v>
      </c>
      <c r="N190" s="2496"/>
      <c r="O190" s="2497"/>
      <c r="P190" s="2243" t="s">
        <v>22</v>
      </c>
      <c r="Q190" s="2244"/>
      <c r="R190" s="2245"/>
    </row>
    <row r="191" spans="1:22" ht="11.25" customHeight="1" x14ac:dyDescent="0.25">
      <c r="B191" s="2303"/>
      <c r="C191" s="2304"/>
      <c r="D191" s="2488"/>
      <c r="E191" s="2467"/>
      <c r="F191" s="2469"/>
      <c r="G191" s="2492"/>
      <c r="H191" s="2493"/>
      <c r="I191" s="2494"/>
      <c r="J191" s="2247"/>
      <c r="K191" s="2247"/>
      <c r="L191" s="2247"/>
      <c r="M191" s="2498"/>
      <c r="N191" s="2493"/>
      <c r="O191" s="2499"/>
      <c r="P191" s="2246"/>
      <c r="Q191" s="2247"/>
      <c r="R191" s="2248"/>
      <c r="S191" s="535" t="s">
        <v>3</v>
      </c>
    </row>
    <row r="192" spans="1:22" ht="11.25" customHeight="1" x14ac:dyDescent="0.25">
      <c r="B192" s="2303"/>
      <c r="C192" s="2304"/>
      <c r="D192" s="2488"/>
      <c r="E192" s="2467"/>
      <c r="F192" s="2469"/>
      <c r="G192" s="2230">
        <f>G16</f>
        <v>2024</v>
      </c>
      <c r="H192" s="2231"/>
      <c r="I192" s="2232"/>
      <c r="J192" s="2233">
        <f>H16</f>
        <v>2025</v>
      </c>
      <c r="K192" s="2231"/>
      <c r="L192" s="2231"/>
      <c r="M192" s="2234">
        <f>I16</f>
        <v>2026</v>
      </c>
      <c r="N192" s="2231"/>
      <c r="O192" s="2235"/>
      <c r="P192" s="2234">
        <f>J16</f>
        <v>2027</v>
      </c>
      <c r="Q192" s="2231"/>
      <c r="R192" s="2235"/>
    </row>
    <row r="193" spans="2:21" ht="12" customHeight="1" x14ac:dyDescent="0.25">
      <c r="B193" s="1404" t="s">
        <v>123</v>
      </c>
      <c r="C193" s="1795"/>
      <c r="D193" s="2488"/>
      <c r="E193" s="2467"/>
      <c r="F193" s="2469"/>
      <c r="G193" s="1512" t="s">
        <v>307</v>
      </c>
      <c r="H193" s="1406" t="s">
        <v>309</v>
      </c>
      <c r="I193" s="1513" t="s">
        <v>126</v>
      </c>
      <c r="J193" s="1406" t="s">
        <v>307</v>
      </c>
      <c r="K193" s="1406" t="s">
        <v>309</v>
      </c>
      <c r="L193" s="1406" t="s">
        <v>126</v>
      </c>
      <c r="M193" s="1539" t="s">
        <v>307</v>
      </c>
      <c r="N193" s="1406" t="s">
        <v>309</v>
      </c>
      <c r="O193" s="1540" t="s">
        <v>126</v>
      </c>
      <c r="P193" s="1539" t="s">
        <v>307</v>
      </c>
      <c r="Q193" s="1406" t="s">
        <v>309</v>
      </c>
      <c r="R193" s="1540" t="s">
        <v>126</v>
      </c>
    </row>
    <row r="194" spans="2:21" ht="12" customHeight="1" x14ac:dyDescent="0.25">
      <c r="B194" s="2479" t="str">
        <f>'2. T7 LAINAT'!B13</f>
        <v xml:space="preserve"> Laina, 1. ennustevuosi</v>
      </c>
      <c r="C194" s="2480"/>
      <c r="D194" s="1514">
        <f>'2. T7 LAINAT'!C13/1000</f>
        <v>0</v>
      </c>
      <c r="E194" s="1431">
        <f>'2. T7 LAINAT'!D13</f>
        <v>0</v>
      </c>
      <c r="F194" s="1565">
        <f>'2. T7 LAINAT'!E13*100</f>
        <v>0</v>
      </c>
      <c r="G194" s="1514">
        <f>'2. T7 LAINAT'!F13/1000</f>
        <v>0</v>
      </c>
      <c r="H194" s="1432">
        <f>'2. T7 LAINAT'!G13/1000</f>
        <v>0</v>
      </c>
      <c r="I194" s="1515">
        <f>'2. T7 LAINAT'!H13/1000</f>
        <v>0</v>
      </c>
      <c r="J194" s="1445">
        <f>'2. T7 LAINAT'!I13/1000</f>
        <v>0</v>
      </c>
      <c r="K194" s="1432">
        <f>'2. T7 LAINAT'!J13/1000</f>
        <v>0</v>
      </c>
      <c r="L194" s="1433">
        <f>'2. T7 LAINAT'!K13/1000</f>
        <v>0</v>
      </c>
      <c r="M194" s="1541">
        <f>'2. T7 LAINAT'!L13/1000</f>
        <v>0</v>
      </c>
      <c r="N194" s="1432">
        <f>'2. T7 LAINAT'!M13/1000</f>
        <v>0</v>
      </c>
      <c r="O194" s="1542">
        <f>'2. T7 LAINAT'!N13/1000</f>
        <v>0</v>
      </c>
      <c r="P194" s="1541">
        <f>'2. T7 LAINAT'!O13/1000</f>
        <v>0</v>
      </c>
      <c r="Q194" s="1432">
        <f>'2. T7 LAINAT'!P13/1000</f>
        <v>0</v>
      </c>
      <c r="R194" s="1542">
        <f>'2. T7 LAINAT'!Q13/1000</f>
        <v>0</v>
      </c>
      <c r="U194" s="535" t="s">
        <v>272</v>
      </c>
    </row>
    <row r="195" spans="2:21" ht="12" customHeight="1" x14ac:dyDescent="0.25">
      <c r="B195" s="2481">
        <f>'2. T7 LAINAT'!B14</f>
        <v>0</v>
      </c>
      <c r="C195" s="2482"/>
      <c r="D195" s="1516">
        <f>'2. T7 LAINAT'!C14/1000</f>
        <v>0</v>
      </c>
      <c r="E195" s="1434">
        <f>'2. T7 LAINAT'!D14</f>
        <v>0</v>
      </c>
      <c r="F195" s="1566">
        <f>'2. T7 LAINAT'!E14*100</f>
        <v>0</v>
      </c>
      <c r="G195" s="1516">
        <f>'2. T7 LAINAT'!F14/1000</f>
        <v>0</v>
      </c>
      <c r="H195" s="1435">
        <f>'2. T7 LAINAT'!G14/1000</f>
        <v>0</v>
      </c>
      <c r="I195" s="1517">
        <f>'2. T7 LAINAT'!H14/1000</f>
        <v>0</v>
      </c>
      <c r="J195" s="1446">
        <f>'2. T7 LAINAT'!I14/1000</f>
        <v>0</v>
      </c>
      <c r="K195" s="1435">
        <f>'2. T7 LAINAT'!J14/1000</f>
        <v>0</v>
      </c>
      <c r="L195" s="1436">
        <f>'2. T7 LAINAT'!K14/1000</f>
        <v>0</v>
      </c>
      <c r="M195" s="1543">
        <f>'2. T7 LAINAT'!L14/1000</f>
        <v>0</v>
      </c>
      <c r="N195" s="1435">
        <f>'2. T7 LAINAT'!M14/1000</f>
        <v>0</v>
      </c>
      <c r="O195" s="1544">
        <f>'2. T7 LAINAT'!N14/1000</f>
        <v>0</v>
      </c>
      <c r="P195" s="1543">
        <f>'2. T7 LAINAT'!O14/1000</f>
        <v>0</v>
      </c>
      <c r="Q195" s="1435">
        <f>'2. T7 LAINAT'!P14/1000</f>
        <v>0</v>
      </c>
      <c r="R195" s="1544">
        <f>'2. T7 LAINAT'!Q14/1000</f>
        <v>0</v>
      </c>
    </row>
    <row r="196" spans="2:21" ht="12" customHeight="1" x14ac:dyDescent="0.25">
      <c r="B196" s="2481">
        <f>'2. T7 LAINAT'!B15</f>
        <v>0</v>
      </c>
      <c r="C196" s="2482"/>
      <c r="D196" s="1516">
        <f>'2. T7 LAINAT'!C15/1000</f>
        <v>0</v>
      </c>
      <c r="E196" s="1434">
        <f>'2. T7 LAINAT'!D15</f>
        <v>0</v>
      </c>
      <c r="F196" s="1566">
        <f>'2. T7 LAINAT'!E15*100</f>
        <v>0</v>
      </c>
      <c r="G196" s="1516">
        <f>'2. T7 LAINAT'!F15/1000</f>
        <v>0</v>
      </c>
      <c r="H196" s="1435">
        <f>'2. T7 LAINAT'!G15/1000</f>
        <v>0</v>
      </c>
      <c r="I196" s="1517">
        <f>'2. T7 LAINAT'!H15/1000</f>
        <v>0</v>
      </c>
      <c r="J196" s="1446">
        <f>'2. T7 LAINAT'!I15/1000</f>
        <v>0</v>
      </c>
      <c r="K196" s="1435">
        <f>'2. T7 LAINAT'!J15/1000</f>
        <v>0</v>
      </c>
      <c r="L196" s="1436">
        <f>'2. T7 LAINAT'!K15/1000</f>
        <v>0</v>
      </c>
      <c r="M196" s="1543">
        <f>'2. T7 LAINAT'!L15/1000</f>
        <v>0</v>
      </c>
      <c r="N196" s="1435">
        <f>'2. T7 LAINAT'!M15/1000</f>
        <v>0</v>
      </c>
      <c r="O196" s="1544">
        <f>'2. T7 LAINAT'!N15/1000</f>
        <v>0</v>
      </c>
      <c r="P196" s="1543">
        <f>'2. T7 LAINAT'!O15/1000</f>
        <v>0</v>
      </c>
      <c r="Q196" s="1435">
        <f>'2. T7 LAINAT'!P15/1000</f>
        <v>0</v>
      </c>
      <c r="R196" s="1544">
        <f>'2. T7 LAINAT'!Q15/1000</f>
        <v>0</v>
      </c>
    </row>
    <row r="197" spans="2:21" ht="12" customHeight="1" x14ac:dyDescent="0.25">
      <c r="B197" s="2481">
        <f>'2. T7 LAINAT'!B16</f>
        <v>0</v>
      </c>
      <c r="C197" s="2482"/>
      <c r="D197" s="1516">
        <f>'2. T7 LAINAT'!C16/1000</f>
        <v>0</v>
      </c>
      <c r="E197" s="1434">
        <f>'2. T7 LAINAT'!D16</f>
        <v>0</v>
      </c>
      <c r="F197" s="1566">
        <f>'2. T7 LAINAT'!E16*100</f>
        <v>0</v>
      </c>
      <c r="G197" s="1516">
        <f>'2. T7 LAINAT'!F16/1000</f>
        <v>0</v>
      </c>
      <c r="H197" s="1435">
        <f>'2. T7 LAINAT'!G16/1000</f>
        <v>0</v>
      </c>
      <c r="I197" s="1517">
        <f>'2. T7 LAINAT'!H16/1000</f>
        <v>0</v>
      </c>
      <c r="J197" s="1446">
        <f>'2. T7 LAINAT'!I16/1000</f>
        <v>0</v>
      </c>
      <c r="K197" s="1435">
        <f>'2. T7 LAINAT'!J16/1000</f>
        <v>0</v>
      </c>
      <c r="L197" s="1436">
        <f>'2. T7 LAINAT'!K16/1000</f>
        <v>0</v>
      </c>
      <c r="M197" s="1543">
        <f>'2. T7 LAINAT'!L16/1000</f>
        <v>0</v>
      </c>
      <c r="N197" s="1435">
        <f>'2. T7 LAINAT'!M16/1000</f>
        <v>0</v>
      </c>
      <c r="O197" s="1544">
        <f>'2. T7 LAINAT'!N16/1000</f>
        <v>0</v>
      </c>
      <c r="P197" s="1543">
        <f>'2. T7 LAINAT'!O16/1000</f>
        <v>0</v>
      </c>
      <c r="Q197" s="1435">
        <f>'2. T7 LAINAT'!P16/1000</f>
        <v>0</v>
      </c>
      <c r="R197" s="1544">
        <f>'2. T7 LAINAT'!Q16/1000</f>
        <v>0</v>
      </c>
    </row>
    <row r="198" spans="2:21" ht="12" customHeight="1" x14ac:dyDescent="0.25">
      <c r="B198" s="1405" t="s">
        <v>128</v>
      </c>
      <c r="C198" s="1395"/>
      <c r="D198" s="1567"/>
      <c r="E198" s="1396"/>
      <c r="F198" s="1568"/>
      <c r="G198" s="1518" t="s">
        <v>307</v>
      </c>
      <c r="H198" s="1409" t="s">
        <v>309</v>
      </c>
      <c r="I198" s="1519" t="s">
        <v>126</v>
      </c>
      <c r="J198" s="1407" t="s">
        <v>307</v>
      </c>
      <c r="K198" s="1409" t="s">
        <v>309</v>
      </c>
      <c r="L198" s="1408" t="s">
        <v>126</v>
      </c>
      <c r="M198" s="1545" t="s">
        <v>307</v>
      </c>
      <c r="N198" s="1409" t="s">
        <v>309</v>
      </c>
      <c r="O198" s="1546" t="s">
        <v>126</v>
      </c>
      <c r="P198" s="1545" t="s">
        <v>307</v>
      </c>
      <c r="Q198" s="1409" t="s">
        <v>309</v>
      </c>
      <c r="R198" s="1540" t="s">
        <v>126</v>
      </c>
    </row>
    <row r="199" spans="2:21" ht="12" customHeight="1" x14ac:dyDescent="0.25">
      <c r="B199" s="2479">
        <f>'2. T7 LAINAT'!B18</f>
        <v>0</v>
      </c>
      <c r="C199" s="2480"/>
      <c r="D199" s="1514">
        <f>'2. T7 LAINAT'!C18/1000</f>
        <v>0</v>
      </c>
      <c r="E199" s="1431">
        <f>'2. T7 LAINAT'!D18</f>
        <v>0</v>
      </c>
      <c r="F199" s="1565">
        <f>'2. T7 LAINAT'!E18*100</f>
        <v>0</v>
      </c>
      <c r="G199" s="1514">
        <f>'2. T7 LAINAT'!F18/1000</f>
        <v>0</v>
      </c>
      <c r="H199" s="1432">
        <f>'2. T7 LAINAT'!G18/1000</f>
        <v>0</v>
      </c>
      <c r="I199" s="1515">
        <f>'2. T7 LAINAT'!H18/1000</f>
        <v>0</v>
      </c>
      <c r="J199" s="1445">
        <f>'2. T7 LAINAT'!I18/1000</f>
        <v>0</v>
      </c>
      <c r="K199" s="1432">
        <f>'2. T7 LAINAT'!J18/1000</f>
        <v>0</v>
      </c>
      <c r="L199" s="1433">
        <f>'2. T7 LAINAT'!K18/1000</f>
        <v>0</v>
      </c>
      <c r="M199" s="1541">
        <f>'2. T7 LAINAT'!L18/1000</f>
        <v>0</v>
      </c>
      <c r="N199" s="1432">
        <f>'2. T7 LAINAT'!M18/1000</f>
        <v>0</v>
      </c>
      <c r="O199" s="1542">
        <f>'2. T7 LAINAT'!N18/1000</f>
        <v>0</v>
      </c>
      <c r="P199" s="1541">
        <f>'2. T7 LAINAT'!O18/1000</f>
        <v>0</v>
      </c>
      <c r="Q199" s="1432">
        <f>'2. T7 LAINAT'!P18/1000</f>
        <v>0</v>
      </c>
      <c r="R199" s="1542">
        <f>'2. T7 LAINAT'!Q18/1000</f>
        <v>0</v>
      </c>
    </row>
    <row r="200" spans="2:21" ht="12" customHeight="1" x14ac:dyDescent="0.25">
      <c r="B200" s="2483">
        <f>'2. T7 LAINAT'!B19</f>
        <v>0</v>
      </c>
      <c r="C200" s="2484"/>
      <c r="D200" s="1516">
        <f>'2. T7 LAINAT'!C19/1000</f>
        <v>0</v>
      </c>
      <c r="E200" s="1434">
        <f>'2. T7 LAINAT'!D19</f>
        <v>0</v>
      </c>
      <c r="F200" s="1566">
        <f>'2. T7 LAINAT'!E19*100</f>
        <v>0</v>
      </c>
      <c r="G200" s="1516">
        <f>'2. T7 LAINAT'!F19/1000</f>
        <v>0</v>
      </c>
      <c r="H200" s="1435">
        <f>'2. T7 LAINAT'!G19/1000</f>
        <v>0</v>
      </c>
      <c r="I200" s="1517">
        <f>'2. T7 LAINAT'!H19/1000</f>
        <v>0</v>
      </c>
      <c r="J200" s="1446">
        <f>'2. T7 LAINAT'!I19/1000</f>
        <v>0</v>
      </c>
      <c r="K200" s="1435">
        <f>'2. T7 LAINAT'!J19/1000</f>
        <v>0</v>
      </c>
      <c r="L200" s="1436">
        <f>'2. T7 LAINAT'!K19/1000</f>
        <v>0</v>
      </c>
      <c r="M200" s="1543">
        <f>'2. T7 LAINAT'!L19/1000</f>
        <v>0</v>
      </c>
      <c r="N200" s="1435">
        <f>'2. T7 LAINAT'!M19/1000</f>
        <v>0</v>
      </c>
      <c r="O200" s="1544">
        <f>'2. T7 LAINAT'!N19/1000</f>
        <v>0</v>
      </c>
      <c r="P200" s="1543">
        <f>'2. T7 LAINAT'!O19/1000</f>
        <v>0</v>
      </c>
      <c r="Q200" s="1435">
        <f>'2. T7 LAINAT'!P19/1000</f>
        <v>0</v>
      </c>
      <c r="R200" s="1544">
        <f>'2. T7 LAINAT'!Q19/1000</f>
        <v>0</v>
      </c>
    </row>
    <row r="201" spans="2:21" ht="12" customHeight="1" x14ac:dyDescent="0.25">
      <c r="B201" s="2479">
        <f>'2. T7 LAINAT'!B20</f>
        <v>0</v>
      </c>
      <c r="C201" s="2480"/>
      <c r="D201" s="1520">
        <f>'2. T7 LAINAT'!C20/1000</f>
        <v>0</v>
      </c>
      <c r="E201" s="1437">
        <f>'2. T7 LAINAT'!D20</f>
        <v>0</v>
      </c>
      <c r="F201" s="1569">
        <f>'2. T7 LAINAT'!E20*100</f>
        <v>0</v>
      </c>
      <c r="G201" s="1520">
        <f>'2. T7 LAINAT'!F20/1000</f>
        <v>0</v>
      </c>
      <c r="H201" s="1438">
        <f>'2. T7 LAINAT'!G20/1000</f>
        <v>0</v>
      </c>
      <c r="I201" s="1521">
        <f>'2. T7 LAINAT'!H20/1000</f>
        <v>0</v>
      </c>
      <c r="J201" s="1447">
        <f>'2. T7 LAINAT'!I20/1000</f>
        <v>0</v>
      </c>
      <c r="K201" s="1438">
        <f>'2. T7 LAINAT'!J20/1000</f>
        <v>0</v>
      </c>
      <c r="L201" s="1439">
        <f>'2. T7 LAINAT'!K20/1000</f>
        <v>0</v>
      </c>
      <c r="M201" s="1547">
        <f>'2. T7 LAINAT'!L20/1000</f>
        <v>0</v>
      </c>
      <c r="N201" s="1438">
        <f>'2. T7 LAINAT'!M20/1000</f>
        <v>0</v>
      </c>
      <c r="O201" s="1548">
        <f>'2. T7 LAINAT'!N20/1000</f>
        <v>0</v>
      </c>
      <c r="P201" s="1547">
        <f>'2. T7 LAINAT'!O20/1000</f>
        <v>0</v>
      </c>
      <c r="Q201" s="1438">
        <f>'2. T7 LAINAT'!P20/1000</f>
        <v>0</v>
      </c>
      <c r="R201" s="1548">
        <f>'2. T7 LAINAT'!Q20/1000</f>
        <v>0</v>
      </c>
    </row>
    <row r="202" spans="2:21" ht="12" customHeight="1" x14ac:dyDescent="0.25">
      <c r="B202" s="2483">
        <f>'2. T7 LAINAT'!B21</f>
        <v>0</v>
      </c>
      <c r="C202" s="2484"/>
      <c r="D202" s="1520">
        <f>'2. T7 LAINAT'!C21/1000</f>
        <v>0</v>
      </c>
      <c r="E202" s="1437">
        <f>'2. T7 LAINAT'!D21</f>
        <v>0</v>
      </c>
      <c r="F202" s="1569">
        <f>'2. T7 LAINAT'!E21*100</f>
        <v>0</v>
      </c>
      <c r="G202" s="1520">
        <f>'2. T7 LAINAT'!F21/1000</f>
        <v>0</v>
      </c>
      <c r="H202" s="1438">
        <f>'2. T7 LAINAT'!G21/1000</f>
        <v>0</v>
      </c>
      <c r="I202" s="1521">
        <f>'2. T7 LAINAT'!H21/1000</f>
        <v>0</v>
      </c>
      <c r="J202" s="1447">
        <f>'2. T7 LAINAT'!I21/1000</f>
        <v>0</v>
      </c>
      <c r="K202" s="1438">
        <f>'2. T7 LAINAT'!J21/1000</f>
        <v>0</v>
      </c>
      <c r="L202" s="1439">
        <f>'2. T7 LAINAT'!K21/1000</f>
        <v>0</v>
      </c>
      <c r="M202" s="1547">
        <f>'2. T7 LAINAT'!L21/1000</f>
        <v>0</v>
      </c>
      <c r="N202" s="1438">
        <f>'2. T7 LAINAT'!M21/1000</f>
        <v>0</v>
      </c>
      <c r="O202" s="1548">
        <f>'2. T7 LAINAT'!N21/1000</f>
        <v>0</v>
      </c>
      <c r="P202" s="1547">
        <f>'2. T7 LAINAT'!O21/1000</f>
        <v>0</v>
      </c>
      <c r="Q202" s="1438">
        <f>'2. T7 LAINAT'!P21/1000</f>
        <v>0</v>
      </c>
      <c r="R202" s="1548">
        <f>'2. T7 LAINAT'!Q21/1000</f>
        <v>0</v>
      </c>
    </row>
    <row r="203" spans="2:21" ht="12" customHeight="1" x14ac:dyDescent="0.25">
      <c r="B203" s="1405" t="s">
        <v>129</v>
      </c>
      <c r="C203" s="1395"/>
      <c r="D203" s="1567"/>
      <c r="E203" s="1396"/>
      <c r="F203" s="1568"/>
      <c r="G203" s="1518" t="s">
        <v>307</v>
      </c>
      <c r="H203" s="1409" t="s">
        <v>309</v>
      </c>
      <c r="I203" s="1519" t="s">
        <v>126</v>
      </c>
      <c r="J203" s="1407" t="s">
        <v>307</v>
      </c>
      <c r="K203" s="1409" t="s">
        <v>309</v>
      </c>
      <c r="L203" s="1408" t="s">
        <v>126</v>
      </c>
      <c r="M203" s="1545" t="s">
        <v>307</v>
      </c>
      <c r="N203" s="1409" t="s">
        <v>309</v>
      </c>
      <c r="O203" s="1546" t="s">
        <v>126</v>
      </c>
      <c r="P203" s="1545" t="s">
        <v>307</v>
      </c>
      <c r="Q203" s="1409" t="s">
        <v>309</v>
      </c>
      <c r="R203" s="1546" t="s">
        <v>126</v>
      </c>
    </row>
    <row r="204" spans="2:21" ht="12" customHeight="1" x14ac:dyDescent="0.25">
      <c r="B204" s="2485">
        <f>'2. T7 LAINAT'!B23</f>
        <v>0</v>
      </c>
      <c r="C204" s="2486"/>
      <c r="D204" s="1522">
        <f>'2. T7 LAINAT'!C23/1000</f>
        <v>0</v>
      </c>
      <c r="E204" s="1412">
        <f>'2. T7 LAINAT'!D23</f>
        <v>0</v>
      </c>
      <c r="F204" s="1570">
        <f>'2. T7 LAINAT'!E23*100</f>
        <v>0</v>
      </c>
      <c r="G204" s="1522">
        <f>'2. T7 LAINAT'!F23/1000</f>
        <v>0</v>
      </c>
      <c r="H204" s="1413">
        <f>'2. T7 LAINAT'!G23/1000</f>
        <v>0</v>
      </c>
      <c r="I204" s="1523">
        <f>'2. T7 LAINAT'!H23/1000</f>
        <v>0</v>
      </c>
      <c r="J204" s="1448">
        <f>'2. T7 LAINAT'!I23/1000</f>
        <v>0</v>
      </c>
      <c r="K204" s="1413">
        <f>'2. T7 LAINAT'!J23/1000</f>
        <v>0</v>
      </c>
      <c r="L204" s="1414">
        <f>'2. T7 LAINAT'!K23/1000</f>
        <v>0</v>
      </c>
      <c r="M204" s="1549">
        <f>'2. T7 LAINAT'!L23/1000</f>
        <v>0</v>
      </c>
      <c r="N204" s="1413">
        <f>'2. T7 LAINAT'!M23/1000</f>
        <v>0</v>
      </c>
      <c r="O204" s="1550">
        <f>'2. T7 LAINAT'!N23/1000</f>
        <v>0</v>
      </c>
      <c r="P204" s="1549">
        <f>'2. T7 LAINAT'!O23/1000</f>
        <v>0</v>
      </c>
      <c r="Q204" s="1413">
        <f>'2. T7 LAINAT'!P23/1000</f>
        <v>0</v>
      </c>
      <c r="R204" s="1550">
        <f>'2. T7 LAINAT'!Q23/1000</f>
        <v>0</v>
      </c>
    </row>
    <row r="205" spans="2:21" ht="12" customHeight="1" x14ac:dyDescent="0.25">
      <c r="B205" s="2305">
        <f>'2. T7 LAINAT'!B24</f>
        <v>0</v>
      </c>
      <c r="C205" s="2306"/>
      <c r="D205" s="1524">
        <f>'2. T7 LAINAT'!C24/1000</f>
        <v>0</v>
      </c>
      <c r="E205" s="1415">
        <f>'2. T7 LAINAT'!D24</f>
        <v>0</v>
      </c>
      <c r="F205" s="1571">
        <f>'2. T7 LAINAT'!E24*100</f>
        <v>0</v>
      </c>
      <c r="G205" s="1524">
        <f>'2. T7 LAINAT'!F24/1000</f>
        <v>0</v>
      </c>
      <c r="H205" s="1416">
        <f>'2. T7 LAINAT'!G24/1000</f>
        <v>0</v>
      </c>
      <c r="I205" s="1525">
        <f>'2. T7 LAINAT'!H24/1000</f>
        <v>0</v>
      </c>
      <c r="J205" s="1449">
        <f>'2. T7 LAINAT'!I24/1000</f>
        <v>0</v>
      </c>
      <c r="K205" s="1416">
        <f>'2. T7 LAINAT'!J24/1000</f>
        <v>0</v>
      </c>
      <c r="L205" s="1417">
        <f>'2. T7 LAINAT'!K24/1000</f>
        <v>0</v>
      </c>
      <c r="M205" s="1551">
        <f>'2. T7 LAINAT'!L24/1000</f>
        <v>0</v>
      </c>
      <c r="N205" s="1416">
        <f>'2. T7 LAINAT'!M24/1000</f>
        <v>0</v>
      </c>
      <c r="O205" s="1552">
        <f>'2. T7 LAINAT'!N24/1000</f>
        <v>0</v>
      </c>
      <c r="P205" s="1551">
        <f>'2. T7 LAINAT'!O24/1000</f>
        <v>0</v>
      </c>
      <c r="Q205" s="1416">
        <f>'2. T7 LAINAT'!P24/1000</f>
        <v>0</v>
      </c>
      <c r="R205" s="1552">
        <f>'2. T7 LAINAT'!Q24/1000</f>
        <v>0</v>
      </c>
    </row>
    <row r="206" spans="2:21" ht="12" customHeight="1" x14ac:dyDescent="0.25">
      <c r="B206" s="2305">
        <f>'2. T7 LAINAT'!B25</f>
        <v>0</v>
      </c>
      <c r="C206" s="2306"/>
      <c r="D206" s="1524">
        <f>'2. T7 LAINAT'!C25/1000</f>
        <v>0</v>
      </c>
      <c r="E206" s="1415">
        <f>'2. T7 LAINAT'!D25</f>
        <v>0</v>
      </c>
      <c r="F206" s="1571">
        <f>'2. T7 LAINAT'!E25*100</f>
        <v>0</v>
      </c>
      <c r="G206" s="1524">
        <f>'2. T7 LAINAT'!F25/1000</f>
        <v>0</v>
      </c>
      <c r="H206" s="1416">
        <f>'2. T7 LAINAT'!G25/1000</f>
        <v>0</v>
      </c>
      <c r="I206" s="1525">
        <f>'2. T7 LAINAT'!H25/1000</f>
        <v>0</v>
      </c>
      <c r="J206" s="1449">
        <f>'2. T7 LAINAT'!I25/1000</f>
        <v>0</v>
      </c>
      <c r="K206" s="1416">
        <f>'2. T7 LAINAT'!J25/1000</f>
        <v>0</v>
      </c>
      <c r="L206" s="1417">
        <f>'2. T7 LAINAT'!K25/1000</f>
        <v>0</v>
      </c>
      <c r="M206" s="1551">
        <f>'2. T7 LAINAT'!L25/1000</f>
        <v>0</v>
      </c>
      <c r="N206" s="1416">
        <f>'2. T7 LAINAT'!M25/1000</f>
        <v>0</v>
      </c>
      <c r="O206" s="1552">
        <f>'2. T7 LAINAT'!N25/1000</f>
        <v>0</v>
      </c>
      <c r="P206" s="1551">
        <f>'2. T7 LAINAT'!O25/1000</f>
        <v>0</v>
      </c>
      <c r="Q206" s="1416">
        <f>'2. T7 LAINAT'!P25/1000</f>
        <v>0</v>
      </c>
      <c r="R206" s="1552">
        <f>'2. T7 LAINAT'!Q25/1000</f>
        <v>0</v>
      </c>
    </row>
    <row r="207" spans="2:21" ht="12" customHeight="1" x14ac:dyDescent="0.25">
      <c r="B207" s="2307">
        <f>'2. T7 LAINAT'!B26</f>
        <v>0</v>
      </c>
      <c r="C207" s="2308"/>
      <c r="D207" s="1526">
        <f>'2. T7 LAINAT'!C26/1000</f>
        <v>0</v>
      </c>
      <c r="E207" s="1418">
        <f>'2. T7 LAINAT'!D26</f>
        <v>0</v>
      </c>
      <c r="F207" s="1572">
        <f>'2. T7 LAINAT'!E26*100</f>
        <v>0</v>
      </c>
      <c r="G207" s="1526">
        <f>'2. T7 LAINAT'!F26/1000</f>
        <v>0</v>
      </c>
      <c r="H207" s="1419">
        <f>'2. T7 LAINAT'!G26/1000</f>
        <v>0</v>
      </c>
      <c r="I207" s="1527">
        <f>'2. T7 LAINAT'!H26/1000</f>
        <v>0</v>
      </c>
      <c r="J207" s="1450">
        <f>'2. T7 LAINAT'!I26/1000</f>
        <v>0</v>
      </c>
      <c r="K207" s="1419">
        <f>'2. T7 LAINAT'!J26/1000</f>
        <v>0</v>
      </c>
      <c r="L207" s="1420">
        <f>'2. T7 LAINAT'!K26/1000</f>
        <v>0</v>
      </c>
      <c r="M207" s="1553">
        <f>'2. T7 LAINAT'!L26/1000</f>
        <v>0</v>
      </c>
      <c r="N207" s="1419">
        <f>'2. T7 LAINAT'!M26/1000</f>
        <v>0</v>
      </c>
      <c r="O207" s="1554">
        <f>'2. T7 LAINAT'!N26/1000</f>
        <v>0</v>
      </c>
      <c r="P207" s="1553">
        <f>'2. T7 LAINAT'!O26/1000</f>
        <v>0</v>
      </c>
      <c r="Q207" s="1419">
        <f>'2. T7 LAINAT'!P26/1000</f>
        <v>0</v>
      </c>
      <c r="R207" s="1554">
        <f>'2. T7 LAINAT'!Q26/1000</f>
        <v>0</v>
      </c>
    </row>
    <row r="208" spans="2:21" ht="12" customHeight="1" x14ac:dyDescent="0.25">
      <c r="B208" s="1405" t="s">
        <v>130</v>
      </c>
      <c r="C208" s="1395"/>
      <c r="D208" s="1567"/>
      <c r="E208" s="1396"/>
      <c r="F208" s="1568"/>
      <c r="G208" s="1518" t="s">
        <v>307</v>
      </c>
      <c r="H208" s="1409" t="s">
        <v>309</v>
      </c>
      <c r="I208" s="1519" t="s">
        <v>126</v>
      </c>
      <c r="J208" s="1407" t="s">
        <v>307</v>
      </c>
      <c r="K208" s="1409" t="s">
        <v>309</v>
      </c>
      <c r="L208" s="1408" t="s">
        <v>126</v>
      </c>
      <c r="M208" s="1545" t="s">
        <v>307</v>
      </c>
      <c r="N208" s="1409" t="s">
        <v>309</v>
      </c>
      <c r="O208" s="1546" t="s">
        <v>126</v>
      </c>
      <c r="P208" s="1545" t="s">
        <v>307</v>
      </c>
      <c r="Q208" s="1409" t="s">
        <v>309</v>
      </c>
      <c r="R208" s="1546" t="s">
        <v>126</v>
      </c>
    </row>
    <row r="209" spans="2:19" ht="12" customHeight="1" x14ac:dyDescent="0.25">
      <c r="B209" s="2479">
        <f>'2. T7 LAINAT'!B28</f>
        <v>0</v>
      </c>
      <c r="C209" s="2480"/>
      <c r="D209" s="1528">
        <f>'2. T7 LAINAT'!C28/1000</f>
        <v>0</v>
      </c>
      <c r="E209" s="1440">
        <f>'2. T7 LAINAT'!D28</f>
        <v>0</v>
      </c>
      <c r="F209" s="1573">
        <f>'2. T7 LAINAT'!E28*100</f>
        <v>0</v>
      </c>
      <c r="G209" s="1528">
        <f>'2. T7 LAINAT'!F28/1000</f>
        <v>0</v>
      </c>
      <c r="H209" s="1441">
        <f>'2. T7 LAINAT'!G28/1000</f>
        <v>0</v>
      </c>
      <c r="I209" s="1529">
        <f>'2. T7 LAINAT'!H28/1000</f>
        <v>0</v>
      </c>
      <c r="J209" s="1451">
        <f>'2. T7 LAINAT'!I28/1000</f>
        <v>0</v>
      </c>
      <c r="K209" s="1441">
        <f>'2. T7 LAINAT'!J28/1000</f>
        <v>0</v>
      </c>
      <c r="L209" s="1442">
        <f>'2. T7 LAINAT'!K28/1000</f>
        <v>0</v>
      </c>
      <c r="M209" s="1555">
        <f>'2. T7 LAINAT'!L28/1000</f>
        <v>0</v>
      </c>
      <c r="N209" s="1441">
        <f>'2. T7 LAINAT'!M28/1000</f>
        <v>0</v>
      </c>
      <c r="O209" s="1556">
        <f>'2. T7 LAINAT'!N28/1000</f>
        <v>0</v>
      </c>
      <c r="P209" s="1555">
        <f>'2. T7 LAINAT'!O28/1000</f>
        <v>0</v>
      </c>
      <c r="Q209" s="1441">
        <f>'2. T7 LAINAT'!P28/1000</f>
        <v>0</v>
      </c>
      <c r="R209" s="1556">
        <f>'2. T7 LAINAT'!Q28/1000</f>
        <v>0</v>
      </c>
    </row>
    <row r="210" spans="2:19" ht="12" customHeight="1" x14ac:dyDescent="0.25">
      <c r="B210" s="2481">
        <f>'2. T7 LAINAT'!B29</f>
        <v>0</v>
      </c>
      <c r="C210" s="2482"/>
      <c r="D210" s="1516">
        <f>'2. T7 LAINAT'!C29/1000</f>
        <v>0</v>
      </c>
      <c r="E210" s="1434">
        <f>'2. T7 LAINAT'!D29</f>
        <v>0</v>
      </c>
      <c r="F210" s="1566">
        <f>'2. T7 LAINAT'!E29*100</f>
        <v>0</v>
      </c>
      <c r="G210" s="1516">
        <f>'2. T7 LAINAT'!F29/1000</f>
        <v>0</v>
      </c>
      <c r="H210" s="1435">
        <f>'2. T7 LAINAT'!G29/1000</f>
        <v>0</v>
      </c>
      <c r="I210" s="1517">
        <f>'2. T7 LAINAT'!H29/1000</f>
        <v>0</v>
      </c>
      <c r="J210" s="1446">
        <f>'2. T7 LAINAT'!I29/1000</f>
        <v>0</v>
      </c>
      <c r="K210" s="1435">
        <f>'2. T7 LAINAT'!J29/1000</f>
        <v>0</v>
      </c>
      <c r="L210" s="1436">
        <f>'2. T7 LAINAT'!K29/1000</f>
        <v>0</v>
      </c>
      <c r="M210" s="1543">
        <f>'2. T7 LAINAT'!L29/1000</f>
        <v>0</v>
      </c>
      <c r="N210" s="1435">
        <f>'2. T7 LAINAT'!M29/1000</f>
        <v>0</v>
      </c>
      <c r="O210" s="1544">
        <f>'2. T7 LAINAT'!N29/1000</f>
        <v>0</v>
      </c>
      <c r="P210" s="1543">
        <f>'2. T7 LAINAT'!O29/1000</f>
        <v>0</v>
      </c>
      <c r="Q210" s="1435">
        <f>'2. T7 LAINAT'!P29/1000</f>
        <v>0</v>
      </c>
      <c r="R210" s="1544">
        <f>'2. T7 LAINAT'!Q29/1000</f>
        <v>0</v>
      </c>
    </row>
    <row r="211" spans="2:19" ht="12" customHeight="1" x14ac:dyDescent="0.25">
      <c r="B211" s="2481">
        <f>'2. T7 LAINAT'!B30</f>
        <v>0</v>
      </c>
      <c r="C211" s="2482"/>
      <c r="D211" s="1516">
        <f>'2. T7 LAINAT'!C30/1000</f>
        <v>0</v>
      </c>
      <c r="E211" s="1437">
        <f>'2. T7 LAINAT'!D30</f>
        <v>0</v>
      </c>
      <c r="F211" s="1569">
        <f>'2. T7 LAINAT'!E30*100</f>
        <v>0</v>
      </c>
      <c r="G211" s="1516">
        <f>'2. T7 LAINAT'!F30/1000</f>
        <v>0</v>
      </c>
      <c r="H211" s="1435">
        <f>'2. T7 LAINAT'!G30/1000</f>
        <v>0</v>
      </c>
      <c r="I211" s="1517">
        <f>'2. T7 LAINAT'!H30/1000</f>
        <v>0</v>
      </c>
      <c r="J211" s="1446">
        <f>'2. T7 LAINAT'!I30/1000</f>
        <v>0</v>
      </c>
      <c r="K211" s="1435">
        <f>'2. T7 LAINAT'!J30/1000</f>
        <v>0</v>
      </c>
      <c r="L211" s="1436">
        <f>'2. T7 LAINAT'!K30/1000</f>
        <v>0</v>
      </c>
      <c r="M211" s="1543">
        <f>'2. T7 LAINAT'!L30/1000</f>
        <v>0</v>
      </c>
      <c r="N211" s="1435">
        <f>'2. T7 LAINAT'!M30/1000</f>
        <v>0</v>
      </c>
      <c r="O211" s="1544">
        <f>'2. T7 LAINAT'!N30/1000</f>
        <v>0</v>
      </c>
      <c r="P211" s="1543">
        <f>'2. T7 LAINAT'!O30/1000</f>
        <v>0</v>
      </c>
      <c r="Q211" s="1435">
        <f>'2. T7 LAINAT'!P30/1000</f>
        <v>0</v>
      </c>
      <c r="R211" s="1544">
        <f>'2. T7 LAINAT'!Q30/1000</f>
        <v>0</v>
      </c>
    </row>
    <row r="212" spans="2:19" ht="12" customHeight="1" x14ac:dyDescent="0.25">
      <c r="B212" s="2500">
        <f>'2. T7 LAINAT'!B31</f>
        <v>0</v>
      </c>
      <c r="C212" s="2501"/>
      <c r="D212" s="1520">
        <f>'2. T7 LAINAT'!C31/1000</f>
        <v>0</v>
      </c>
      <c r="E212" s="1437">
        <f>'2. T7 LAINAT'!D31</f>
        <v>0</v>
      </c>
      <c r="F212" s="1574">
        <f>'2. T7 LAINAT'!E31*100</f>
        <v>0</v>
      </c>
      <c r="G212" s="1520">
        <f>'2. T7 LAINAT'!F31/1000</f>
        <v>0</v>
      </c>
      <c r="H212" s="1443">
        <f>'2. T7 LAINAT'!G31/1000</f>
        <v>0</v>
      </c>
      <c r="I212" s="1530">
        <f>'2. T7 LAINAT'!H31/1000</f>
        <v>0</v>
      </c>
      <c r="J212" s="1452">
        <f>'2. T7 LAINAT'!I31/1000</f>
        <v>0</v>
      </c>
      <c r="K212" s="1443">
        <f>'2. T7 LAINAT'!J31/1000</f>
        <v>0</v>
      </c>
      <c r="L212" s="1444">
        <f>'2. T7 LAINAT'!K31/1000</f>
        <v>0</v>
      </c>
      <c r="M212" s="1557">
        <f>'2. T7 LAINAT'!L31/1000</f>
        <v>0</v>
      </c>
      <c r="N212" s="1443">
        <f>'2. T7 LAINAT'!M31/1000</f>
        <v>0</v>
      </c>
      <c r="O212" s="1558">
        <f>'2. T7 LAINAT'!N31/1000</f>
        <v>0</v>
      </c>
      <c r="P212" s="1557">
        <f>'2. T7 LAINAT'!O31/1000</f>
        <v>0</v>
      </c>
      <c r="Q212" s="1443">
        <f>'2. T7 LAINAT'!P31/1000</f>
        <v>0</v>
      </c>
      <c r="R212" s="1558">
        <f>'2. T7 LAINAT'!Q31/1000</f>
        <v>0</v>
      </c>
    </row>
    <row r="213" spans="2:19" ht="12" customHeight="1" x14ac:dyDescent="0.25">
      <c r="B213" s="2297" t="s">
        <v>131</v>
      </c>
      <c r="C213" s="2298"/>
      <c r="D213" s="1582">
        <f>'2. T7 LAINAT'!C32/1000</f>
        <v>0</v>
      </c>
      <c r="E213" s="1583"/>
      <c r="F213" s="1577"/>
      <c r="G213" s="1531">
        <f>'2. T7 LAINAT'!F32/1000</f>
        <v>0</v>
      </c>
      <c r="H213" s="1453">
        <f>'2. T7 LAINAT'!G32/1000</f>
        <v>0</v>
      </c>
      <c r="I213" s="1532">
        <f>'2. T7 LAINAT'!H32/1000</f>
        <v>0</v>
      </c>
      <c r="J213" s="1510">
        <f>'2. T7 LAINAT'!I32/1000</f>
        <v>0</v>
      </c>
      <c r="K213" s="1453">
        <f>'2. T7 LAINAT'!J32/1000</f>
        <v>0</v>
      </c>
      <c r="L213" s="1538">
        <f>'2. T7 LAINAT'!K32/1000</f>
        <v>0</v>
      </c>
      <c r="M213" s="1559">
        <f>'2. T7 LAINAT'!L32/1000</f>
        <v>0</v>
      </c>
      <c r="N213" s="1453">
        <f>'2. T7 LAINAT'!M32/1000</f>
        <v>0</v>
      </c>
      <c r="O213" s="1560">
        <f>'2. T7 LAINAT'!N32/1000</f>
        <v>0</v>
      </c>
      <c r="P213" s="1559">
        <f>'2. T7 LAINAT'!O32/1000</f>
        <v>0</v>
      </c>
      <c r="Q213" s="1453">
        <f>'2. T7 LAINAT'!P32/1000</f>
        <v>0</v>
      </c>
      <c r="R213" s="1560">
        <f>'2. T7 LAINAT'!Q32/1000</f>
        <v>0</v>
      </c>
    </row>
    <row r="214" spans="2:19" ht="3.6" customHeight="1" x14ac:dyDescent="0.25">
      <c r="B214" s="1410"/>
      <c r="C214" s="504"/>
      <c r="D214" s="1533"/>
      <c r="E214" s="1397"/>
      <c r="F214" s="1575"/>
      <c r="G214" s="1533"/>
      <c r="H214" s="835"/>
      <c r="I214" s="1534"/>
      <c r="J214" s="1102"/>
      <c r="K214" s="835"/>
      <c r="L214" s="835"/>
      <c r="M214" s="1561"/>
      <c r="N214" s="835"/>
      <c r="O214" s="1562"/>
      <c r="P214" s="1561"/>
      <c r="Q214" s="835"/>
      <c r="R214" s="1562"/>
    </row>
    <row r="215" spans="2:19" ht="12" customHeight="1" x14ac:dyDescent="0.25">
      <c r="B215" s="2502" t="str">
        <f>'2. T7 LAINAT'!B34</f>
        <v xml:space="preserve"> Osamaksuvelka, 1. ennustevuosi </v>
      </c>
      <c r="C215" s="2503"/>
      <c r="D215" s="1535">
        <f>'2. T7 LAINAT'!C34/1000</f>
        <v>0</v>
      </c>
      <c r="E215" s="1454">
        <f>'2. T7 LAINAT'!D34</f>
        <v>0</v>
      </c>
      <c r="F215" s="1576">
        <f>'2. T7 LAINAT'!E34*100</f>
        <v>0</v>
      </c>
      <c r="G215" s="1535">
        <f>'2. T7 LAINAT'!F34/1000</f>
        <v>0</v>
      </c>
      <c r="H215" s="1455">
        <f>'2. T7 LAINAT'!G34/1000</f>
        <v>0</v>
      </c>
      <c r="I215" s="1536">
        <f>'2. T7 LAINAT'!H34/1000</f>
        <v>0</v>
      </c>
      <c r="J215" s="1511">
        <f>'2. T7 LAINAT'!I34/1000</f>
        <v>0</v>
      </c>
      <c r="K215" s="1455">
        <f>'2. T7 LAINAT'!J34/1000</f>
        <v>0</v>
      </c>
      <c r="L215" s="1456">
        <f>'2. T7 LAINAT'!K34/1000</f>
        <v>0</v>
      </c>
      <c r="M215" s="1563">
        <f>'2. T7 LAINAT'!L34/1000</f>
        <v>0</v>
      </c>
      <c r="N215" s="1455">
        <f>'2. T7 LAINAT'!M34/1000</f>
        <v>0</v>
      </c>
      <c r="O215" s="1564">
        <f>'2. T7 LAINAT'!N34/1000</f>
        <v>0</v>
      </c>
      <c r="P215" s="1563">
        <f>'2. T7 LAINAT'!O34/1000</f>
        <v>0</v>
      </c>
      <c r="Q215" s="1455">
        <f>'2. T7 LAINAT'!P34/1000</f>
        <v>0</v>
      </c>
      <c r="R215" s="1564">
        <f>'2. T7 LAINAT'!Q34/1000</f>
        <v>0</v>
      </c>
      <c r="S215" s="1130" t="s">
        <v>3</v>
      </c>
    </row>
    <row r="216" spans="2:19" ht="12" customHeight="1" x14ac:dyDescent="0.25">
      <c r="B216" s="2481">
        <f>'2. T7 LAINAT'!B35</f>
        <v>0</v>
      </c>
      <c r="C216" s="2482"/>
      <c r="D216" s="1516">
        <f>'2. T7 LAINAT'!C35/1000</f>
        <v>0</v>
      </c>
      <c r="E216" s="1434">
        <f>'2. T7 LAINAT'!D35</f>
        <v>0</v>
      </c>
      <c r="F216" s="1566">
        <f>'2. T7 LAINAT'!E35*100</f>
        <v>0</v>
      </c>
      <c r="G216" s="1516">
        <f>'2. T7 LAINAT'!F35/1000</f>
        <v>0</v>
      </c>
      <c r="H216" s="1435">
        <f>'2. T7 LAINAT'!G35/1000</f>
        <v>0</v>
      </c>
      <c r="I216" s="1517">
        <f>'2. T7 LAINAT'!H35/1000</f>
        <v>0</v>
      </c>
      <c r="J216" s="1446">
        <f>'2. T7 LAINAT'!I35/1000</f>
        <v>0</v>
      </c>
      <c r="K216" s="1435">
        <f>'2. T7 LAINAT'!J35/1000</f>
        <v>0</v>
      </c>
      <c r="L216" s="1436">
        <f>'2. T7 LAINAT'!K35/1000</f>
        <v>0</v>
      </c>
      <c r="M216" s="1543">
        <f>'2. T7 LAINAT'!L35/1000</f>
        <v>0</v>
      </c>
      <c r="N216" s="1435">
        <f>'2. T7 LAINAT'!M35/1000</f>
        <v>0</v>
      </c>
      <c r="O216" s="1544">
        <f>'2. T7 LAINAT'!N35/1000</f>
        <v>0</v>
      </c>
      <c r="P216" s="1543">
        <f>'2. T7 LAINAT'!O35/1000</f>
        <v>0</v>
      </c>
      <c r="Q216" s="1435">
        <f>'2. T7 LAINAT'!P35/1000</f>
        <v>0</v>
      </c>
      <c r="R216" s="1544">
        <f>'2. T7 LAINAT'!Q35/1000</f>
        <v>0</v>
      </c>
      <c r="S216" s="1130"/>
    </row>
    <row r="217" spans="2:19" ht="12" customHeight="1" x14ac:dyDescent="0.25">
      <c r="B217" s="2481">
        <f>'2. T7 LAINAT'!B36</f>
        <v>0</v>
      </c>
      <c r="C217" s="2482"/>
      <c r="D217" s="1516">
        <f>'2. T7 LAINAT'!C36/1000</f>
        <v>0</v>
      </c>
      <c r="E217" s="1434">
        <f>'2. T7 LAINAT'!D36</f>
        <v>0</v>
      </c>
      <c r="F217" s="1566">
        <f>'2. T7 LAINAT'!E36*100</f>
        <v>0</v>
      </c>
      <c r="G217" s="1516">
        <f>'2. T7 LAINAT'!F36/1000</f>
        <v>0</v>
      </c>
      <c r="H217" s="1435">
        <f>'2. T7 LAINAT'!G36/1000</f>
        <v>0</v>
      </c>
      <c r="I217" s="1517">
        <f>'2. T7 LAINAT'!H36/1000</f>
        <v>0</v>
      </c>
      <c r="J217" s="1446">
        <f>'2. T7 LAINAT'!I36/1000</f>
        <v>0</v>
      </c>
      <c r="K217" s="1435">
        <f>'2. T7 LAINAT'!J36/1000</f>
        <v>0</v>
      </c>
      <c r="L217" s="1436">
        <f>'2. T7 LAINAT'!K36/1000</f>
        <v>0</v>
      </c>
      <c r="M217" s="1543">
        <f>'2. T7 LAINAT'!L36/1000</f>
        <v>0</v>
      </c>
      <c r="N217" s="1435">
        <f>'2. T7 LAINAT'!M36/1000</f>
        <v>0</v>
      </c>
      <c r="O217" s="1544">
        <f>'2. T7 LAINAT'!N36/1000</f>
        <v>0</v>
      </c>
      <c r="P217" s="1543">
        <f>'2. T7 LAINAT'!O36/1000</f>
        <v>0</v>
      </c>
      <c r="Q217" s="1435">
        <f>'2. T7 LAINAT'!P36/1000</f>
        <v>0</v>
      </c>
      <c r="R217" s="1544">
        <f>'2. T7 LAINAT'!Q36/1000</f>
        <v>0</v>
      </c>
      <c r="S217" s="1130"/>
    </row>
    <row r="218" spans="2:19" ht="12" customHeight="1" x14ac:dyDescent="0.25">
      <c r="B218" s="2500">
        <f>'2. T7 LAINAT'!B37</f>
        <v>0</v>
      </c>
      <c r="C218" s="2501"/>
      <c r="D218" s="1520">
        <f>'2. T7 LAINAT'!C37/1000</f>
        <v>0</v>
      </c>
      <c r="E218" s="1437">
        <f>'2. T7 LAINAT'!D37</f>
        <v>0</v>
      </c>
      <c r="F218" s="1574">
        <f>'2. T7 LAINAT'!E37*100</f>
        <v>0</v>
      </c>
      <c r="G218" s="1537">
        <f>'2. T7 LAINAT'!F37/1000</f>
        <v>0</v>
      </c>
      <c r="H218" s="1443">
        <f>'2. T7 LAINAT'!G37/1000</f>
        <v>0</v>
      </c>
      <c r="I218" s="1530">
        <f>'2. T7 LAINAT'!H37/1000</f>
        <v>0</v>
      </c>
      <c r="J218" s="1452">
        <f>'2. T7 LAINAT'!I37/1000</f>
        <v>0</v>
      </c>
      <c r="K218" s="1443">
        <f>'2. T7 LAINAT'!J37/1000</f>
        <v>0</v>
      </c>
      <c r="L218" s="1444">
        <f>'2. T7 LAINAT'!K37/1000</f>
        <v>0</v>
      </c>
      <c r="M218" s="1557">
        <f>'2. T7 LAINAT'!L37/1000</f>
        <v>0</v>
      </c>
      <c r="N218" s="1443">
        <f>'2. T7 LAINAT'!M37/1000</f>
        <v>0</v>
      </c>
      <c r="O218" s="1558">
        <f>'2. T7 LAINAT'!N37/1000</f>
        <v>0</v>
      </c>
      <c r="P218" s="1557">
        <f>'2. T7 LAINAT'!O37/1000</f>
        <v>0</v>
      </c>
      <c r="Q218" s="1443">
        <f>'2. T7 LAINAT'!P37/1000</f>
        <v>0</v>
      </c>
      <c r="R218" s="1558">
        <f>'2. T7 LAINAT'!Q37/1000</f>
        <v>0</v>
      </c>
      <c r="S218" s="1130"/>
    </row>
    <row r="219" spans="2:19" ht="12" customHeight="1" x14ac:dyDescent="0.25">
      <c r="B219" s="2299" t="s">
        <v>133</v>
      </c>
      <c r="C219" s="2300"/>
      <c r="D219" s="1531">
        <f>'2. T7 LAINAT'!C38/1000</f>
        <v>0</v>
      </c>
      <c r="E219" s="1583"/>
      <c r="F219" s="1577"/>
      <c r="G219" s="1531">
        <f>'2. T7 LAINAT'!F38/1000</f>
        <v>0</v>
      </c>
      <c r="H219" s="1453">
        <f>'2. T7 LAINAT'!G38/1000</f>
        <v>0</v>
      </c>
      <c r="I219" s="1532">
        <f>'2. T7 LAINAT'!H38/1000</f>
        <v>0</v>
      </c>
      <c r="J219" s="1510">
        <f>'2. T7 LAINAT'!I38/1000</f>
        <v>0</v>
      </c>
      <c r="K219" s="1453">
        <f>'2. T7 LAINAT'!J38/1000</f>
        <v>0</v>
      </c>
      <c r="L219" s="1538">
        <f>'2. T7 LAINAT'!K38/1000</f>
        <v>0</v>
      </c>
      <c r="M219" s="1559">
        <f>'2. T7 LAINAT'!L38/1000</f>
        <v>0</v>
      </c>
      <c r="N219" s="1453">
        <f>'2. T7 LAINAT'!M38/1000</f>
        <v>0</v>
      </c>
      <c r="O219" s="1560">
        <f>'2. T7 LAINAT'!N38/1000</f>
        <v>0</v>
      </c>
      <c r="P219" s="1559">
        <f>'2. T7 LAINAT'!O38/1000</f>
        <v>0</v>
      </c>
      <c r="Q219" s="1453">
        <f>'2. T7 LAINAT'!P38/1000</f>
        <v>0</v>
      </c>
      <c r="R219" s="1560">
        <f>'2. T7 LAINAT'!Q38/1000</f>
        <v>0</v>
      </c>
      <c r="S219" s="1130"/>
    </row>
    <row r="220" spans="2:19" ht="3.6" customHeight="1" x14ac:dyDescent="0.25">
      <c r="B220" s="504"/>
      <c r="C220" s="504"/>
      <c r="D220" s="1801"/>
      <c r="E220" s="1801"/>
      <c r="F220" s="1801"/>
      <c r="G220" s="1102"/>
      <c r="H220" s="1801"/>
      <c r="I220" s="1398"/>
      <c r="J220" s="1399"/>
      <c r="K220" s="1399"/>
      <c r="L220" s="1400"/>
      <c r="M220" s="1399"/>
      <c r="N220" s="1399"/>
      <c r="O220" s="1400"/>
      <c r="P220" s="1399"/>
      <c r="Q220" s="835"/>
      <c r="R220" s="1411"/>
    </row>
    <row r="221" spans="2:19" ht="12.6" customHeight="1" x14ac:dyDescent="0.25">
      <c r="B221" s="2226" t="s">
        <v>670</v>
      </c>
      <c r="C221" s="2227"/>
      <c r="D221" s="1559">
        <f>'2. T7 LAINAT'!C40/1000</f>
        <v>0</v>
      </c>
      <c r="E221" s="1584"/>
      <c r="F221" s="1578">
        <f>'2. T7 LAINAT'!E40*100</f>
        <v>0</v>
      </c>
      <c r="G221" s="1585"/>
      <c r="H221" s="1586"/>
      <c r="I221" s="1581">
        <f>'2. T7 LAINAT'!H40/1000</f>
        <v>0</v>
      </c>
      <c r="J221" s="1591"/>
      <c r="K221" s="1586"/>
      <c r="L221" s="1560">
        <f>'2. T7 LAINAT'!K40/1000</f>
        <v>0</v>
      </c>
      <c r="M221" s="1585"/>
      <c r="N221" s="1586"/>
      <c r="O221" s="1560">
        <f>'2. T7 LAINAT'!N40/1000</f>
        <v>0</v>
      </c>
      <c r="P221" s="1585"/>
      <c r="Q221" s="1586"/>
      <c r="R221" s="1560">
        <f>'2. T7 LAINAT'!Q40/1000</f>
        <v>0</v>
      </c>
    </row>
    <row r="222" spans="2:19" ht="3.6" customHeight="1" x14ac:dyDescent="0.25">
      <c r="B222" s="504"/>
      <c r="C222" s="504"/>
      <c r="D222" s="1801"/>
      <c r="E222" s="1801"/>
      <c r="F222" s="1801"/>
      <c r="G222" s="1102"/>
      <c r="H222" s="1801"/>
      <c r="I222" s="1401"/>
      <c r="J222" s="1402"/>
      <c r="K222" s="1402"/>
      <c r="L222" s="1403"/>
      <c r="M222" s="1579"/>
      <c r="N222" s="1402"/>
      <c r="O222" s="1580"/>
      <c r="P222" s="1402"/>
      <c r="Q222" s="835"/>
      <c r="R222" s="835"/>
    </row>
    <row r="223" spans="2:19" ht="12.6" customHeight="1" x14ac:dyDescent="0.25">
      <c r="B223" s="2226" t="s">
        <v>135</v>
      </c>
      <c r="C223" s="2227"/>
      <c r="D223" s="1559">
        <f>'2. T7 LAINAT'!C42/1000</f>
        <v>0</v>
      </c>
      <c r="E223" s="1584"/>
      <c r="F223" s="1578">
        <f>'2. T7 LAINAT'!E42*100</f>
        <v>0</v>
      </c>
      <c r="G223" s="1585"/>
      <c r="H223" s="1586"/>
      <c r="I223" s="1578">
        <f>'2. T7 LAINAT'!H42/1000</f>
        <v>0</v>
      </c>
      <c r="J223" s="1585"/>
      <c r="K223" s="1586"/>
      <c r="L223" s="1560">
        <f>'2. T7 LAINAT'!K42/1000</f>
        <v>0</v>
      </c>
      <c r="M223" s="1585"/>
      <c r="N223" s="1586"/>
      <c r="O223" s="1560">
        <f>'2. T7 LAINAT'!N42/1000</f>
        <v>0</v>
      </c>
      <c r="P223" s="1585"/>
      <c r="Q223" s="1586"/>
      <c r="R223" s="1560">
        <f>'2. T7 LAINAT'!Q42/1000</f>
        <v>0</v>
      </c>
    </row>
    <row r="224" spans="2:19" ht="3.6" customHeight="1" x14ac:dyDescent="0.25">
      <c r="B224" s="504"/>
      <c r="C224" s="504"/>
      <c r="D224" s="1801"/>
      <c r="E224" s="1801"/>
      <c r="F224" s="1801"/>
      <c r="G224" s="1102"/>
      <c r="H224" s="1801"/>
      <c r="I224" s="1401"/>
      <c r="J224" s="1402"/>
      <c r="K224" s="1402"/>
      <c r="L224" s="1403"/>
      <c r="M224" s="1402"/>
      <c r="N224" s="1402"/>
      <c r="O224" s="1403"/>
      <c r="P224" s="1402"/>
      <c r="Q224" s="835"/>
      <c r="R224" s="835"/>
    </row>
    <row r="225" spans="2:18" ht="11.25" customHeight="1" x14ac:dyDescent="0.25">
      <c r="B225" s="2315" t="s">
        <v>671</v>
      </c>
      <c r="C225" s="2316"/>
      <c r="D225" s="2317">
        <f>'2. T7 LAINAT'!C44/1000</f>
        <v>0</v>
      </c>
      <c r="E225" s="2319"/>
      <c r="F225" s="2321">
        <f>'2. T7 LAINAT'!E44*100</f>
        <v>0</v>
      </c>
      <c r="G225" s="2323"/>
      <c r="H225" s="2325"/>
      <c r="I225" s="2321">
        <f>'2. T7 LAINAT'!H44/1000</f>
        <v>0</v>
      </c>
      <c r="J225" s="2323"/>
      <c r="K225" s="2325"/>
      <c r="L225" s="2327">
        <f>'2. T7 LAINAT'!K44/1000</f>
        <v>0</v>
      </c>
      <c r="M225" s="2323"/>
      <c r="N225" s="2325"/>
      <c r="O225" s="2327">
        <f>'2. T7 LAINAT'!N44/1000</f>
        <v>0</v>
      </c>
      <c r="P225" s="2323"/>
      <c r="Q225" s="2325"/>
      <c r="R225" s="2327">
        <f>'2. T7 LAINAT'!Q44/1000</f>
        <v>0</v>
      </c>
    </row>
    <row r="226" spans="2:18" ht="11.7" customHeight="1" x14ac:dyDescent="0.25">
      <c r="B226" s="2294"/>
      <c r="C226" s="2295"/>
      <c r="D226" s="2318"/>
      <c r="E226" s="2320"/>
      <c r="F226" s="2322">
        <f>'2. T7 LAINAT'!E45*100</f>
        <v>0</v>
      </c>
      <c r="G226" s="2324"/>
      <c r="H226" s="2326"/>
      <c r="I226" s="2322">
        <f>'2. T7 LAINAT'!H45/1000</f>
        <v>0</v>
      </c>
      <c r="J226" s="2324"/>
      <c r="K226" s="2326"/>
      <c r="L226" s="2328">
        <f>'2. T7 LAINAT'!K45/1000</f>
        <v>0</v>
      </c>
      <c r="M226" s="2324"/>
      <c r="N226" s="2326"/>
      <c r="O226" s="2328">
        <f>'2. T7 LAINAT'!N45/1000</f>
        <v>0</v>
      </c>
      <c r="P226" s="2324"/>
      <c r="Q226" s="2326"/>
      <c r="R226" s="2328">
        <f>'2. T7 LAINAT'!Q45/1000</f>
        <v>0</v>
      </c>
    </row>
    <row r="227" spans="2:18" ht="3.6" customHeight="1" x14ac:dyDescent="0.25">
      <c r="B227" s="504"/>
      <c r="C227" s="504"/>
      <c r="D227" s="1801"/>
      <c r="E227" s="1801"/>
      <c r="F227" s="1801"/>
      <c r="G227" s="1102"/>
      <c r="H227" s="1801"/>
      <c r="I227" s="1398"/>
      <c r="J227" s="1399"/>
      <c r="K227" s="1399"/>
      <c r="L227" s="1400"/>
      <c r="M227" s="1399"/>
      <c r="N227" s="1399"/>
      <c r="O227" s="1400"/>
      <c r="P227" s="1399"/>
      <c r="Q227" s="835"/>
      <c r="R227" s="1411"/>
    </row>
    <row r="228" spans="2:18" ht="24" customHeight="1" x14ac:dyDescent="0.25">
      <c r="B228" s="2294" t="s">
        <v>672</v>
      </c>
      <c r="C228" s="2295"/>
      <c r="D228" s="1587"/>
      <c r="E228" s="1588"/>
      <c r="F228" s="1589"/>
      <c r="G228" s="1590"/>
      <c r="H228" s="1588"/>
      <c r="I228" s="1578">
        <f>'2. T7 LAINAT'!H46/1000</f>
        <v>0</v>
      </c>
      <c r="J228" s="1585"/>
      <c r="K228" s="1586"/>
      <c r="L228" s="1560">
        <f>'2. T7 LAINAT'!K46/1000</f>
        <v>0</v>
      </c>
      <c r="M228" s="1585"/>
      <c r="N228" s="1586"/>
      <c r="O228" s="1560">
        <f>'2. T7 LAINAT'!N46/1000</f>
        <v>0</v>
      </c>
      <c r="P228" s="1585"/>
      <c r="Q228" s="1586"/>
      <c r="R228" s="1560">
        <f>'2. T7 LAINAT'!Q46/1000</f>
        <v>0</v>
      </c>
    </row>
    <row r="229" spans="2:18" ht="3.6" customHeight="1" x14ac:dyDescent="0.25">
      <c r="B229" s="504"/>
      <c r="C229" s="504"/>
      <c r="D229" s="1801"/>
      <c r="E229" s="1801"/>
      <c r="F229" s="1801"/>
      <c r="G229" s="1102"/>
      <c r="H229" s="1801"/>
      <c r="I229" s="1398"/>
      <c r="J229" s="1399"/>
      <c r="K229" s="1399"/>
      <c r="L229" s="1400"/>
      <c r="M229" s="1399"/>
      <c r="N229" s="1399"/>
      <c r="O229" s="1400"/>
      <c r="P229" s="1399"/>
      <c r="Q229" s="835"/>
      <c r="R229" s="1411"/>
    </row>
    <row r="230" spans="2:18" ht="12" customHeight="1" x14ac:dyDescent="0.25">
      <c r="B230" s="2226" t="s">
        <v>673</v>
      </c>
      <c r="C230" s="2227"/>
      <c r="D230" s="1559">
        <f>'2. T7 LAINAT'!C48/1000</f>
        <v>0</v>
      </c>
      <c r="E230" s="1630"/>
      <c r="F230" s="1631"/>
      <c r="G230" s="1559">
        <f>'2. T7 LAINAT'!F48/1000</f>
        <v>0</v>
      </c>
      <c r="H230" s="1632">
        <f>'2. T7 LAINAT'!G48/1000</f>
        <v>0</v>
      </c>
      <c r="I230" s="1578">
        <f>'2. T7 LAINAT'!H48/1000</f>
        <v>0</v>
      </c>
      <c r="J230" s="1559">
        <f>'2. T7 LAINAT'!I48/1000</f>
        <v>0</v>
      </c>
      <c r="K230" s="1632">
        <f>'2. T7 LAINAT'!J48/1000</f>
        <v>0</v>
      </c>
      <c r="L230" s="1560">
        <f>'2. T7 LAINAT'!K48/1000</f>
        <v>0</v>
      </c>
      <c r="M230" s="1559">
        <f>'2. T7 LAINAT'!L48/1000</f>
        <v>0</v>
      </c>
      <c r="N230" s="1632">
        <f>'2. T7 LAINAT'!M48/1000</f>
        <v>0</v>
      </c>
      <c r="O230" s="1560">
        <f>'2. T7 LAINAT'!N48/1000</f>
        <v>0</v>
      </c>
      <c r="P230" s="1559">
        <f>'2. T7 LAINAT'!O48/1000</f>
        <v>0</v>
      </c>
      <c r="Q230" s="1632">
        <f>'2. T7 LAINAT'!P48/1000</f>
        <v>0</v>
      </c>
      <c r="R230" s="1453">
        <f>'2. T7 LAINAT'!Q48/1000</f>
        <v>0</v>
      </c>
    </row>
    <row r="231" spans="2:18" ht="11.25" customHeight="1" x14ac:dyDescent="0.25">
      <c r="B231" s="434"/>
      <c r="C231" s="435"/>
      <c r="D231" s="435"/>
      <c r="E231" s="435"/>
      <c r="F231" s="435"/>
      <c r="G231" s="436"/>
      <c r="H231" s="428"/>
      <c r="I231" s="627"/>
      <c r="J231" s="628"/>
      <c r="K231" s="628"/>
      <c r="L231" s="628"/>
      <c r="M231" s="628"/>
      <c r="N231" s="628"/>
      <c r="O231" s="628"/>
      <c r="P231" s="628"/>
      <c r="Q231" s="1818"/>
      <c r="R231" s="121"/>
    </row>
    <row r="232" spans="2:18" ht="12" customHeight="1" x14ac:dyDescent="0.25">
      <c r="B232" s="665"/>
      <c r="C232" s="665"/>
      <c r="D232" s="665"/>
      <c r="E232" s="665"/>
      <c r="O232" s="113"/>
      <c r="P232" s="113"/>
      <c r="Q232" s="113"/>
      <c r="R232" s="113"/>
    </row>
    <row r="233" spans="2:18" ht="11.25" customHeight="1" x14ac:dyDescent="0.25">
      <c r="C233" s="2223" t="s">
        <v>674</v>
      </c>
      <c r="D233" s="2223"/>
      <c r="E233" s="2223"/>
      <c r="F233" s="2223"/>
      <c r="G233" s="2223"/>
      <c r="H233" s="2223"/>
      <c r="I233" s="2223"/>
      <c r="J233" s="2448" t="str">
        <f>K108</f>
        <v>Ennuste 1</v>
      </c>
      <c r="K233" s="2449"/>
      <c r="L233" s="2448" t="str">
        <f>M108</f>
        <v>Ennuste 2</v>
      </c>
      <c r="M233" s="2449"/>
      <c r="N233" s="2448" t="str">
        <f>O108</f>
        <v>Ennuste 3</v>
      </c>
      <c r="O233" s="2449"/>
      <c r="P233" s="2448" t="str">
        <f>Q108</f>
        <v>Ennuste 4</v>
      </c>
      <c r="Q233" s="2449"/>
    </row>
    <row r="234" spans="2:18" ht="11.25" customHeight="1" x14ac:dyDescent="0.25">
      <c r="B234" s="460"/>
      <c r="C234" s="2223"/>
      <c r="D234" s="2223"/>
      <c r="E234" s="2223"/>
      <c r="F234" s="2223"/>
      <c r="G234" s="2223"/>
      <c r="H234" s="2223"/>
      <c r="I234" s="2223"/>
      <c r="J234" s="2452">
        <f>K134</f>
        <v>2024</v>
      </c>
      <c r="K234" s="2453"/>
      <c r="L234" s="2452">
        <f>M134</f>
        <v>2025</v>
      </c>
      <c r="M234" s="2453"/>
      <c r="N234" s="2452">
        <f>O134</f>
        <v>2026</v>
      </c>
      <c r="O234" s="2453"/>
      <c r="P234" s="2452">
        <f>Q134</f>
        <v>2027</v>
      </c>
      <c r="Q234" s="2453"/>
      <c r="R234" s="1394"/>
    </row>
    <row r="235" spans="2:18" ht="12.6" customHeight="1" x14ac:dyDescent="0.25">
      <c r="B235" s="459" t="s">
        <v>3</v>
      </c>
      <c r="C235" s="705" t="s">
        <v>675</v>
      </c>
      <c r="D235" s="458"/>
      <c r="E235" s="458"/>
      <c r="F235" s="458"/>
      <c r="G235" s="2296"/>
      <c r="H235" s="2296"/>
      <c r="J235" s="1817"/>
      <c r="K235" s="1817"/>
      <c r="L235" s="1817"/>
      <c r="M235" s="1817"/>
      <c r="N235" s="816"/>
      <c r="O235" s="816"/>
      <c r="P235" s="816"/>
      <c r="Q235" s="816"/>
      <c r="R235" s="818"/>
    </row>
    <row r="236" spans="2:18" ht="12.6" customHeight="1" x14ac:dyDescent="0.25">
      <c r="C236" s="2140" t="s">
        <v>368</v>
      </c>
      <c r="D236" s="2140"/>
      <c r="E236" s="2140"/>
      <c r="F236" s="2140"/>
      <c r="G236" s="2140"/>
      <c r="H236" s="2140"/>
      <c r="I236" s="2140"/>
      <c r="J236" s="2309">
        <f>'5. T4 RAHOITUSSUUN.'!Q27</f>
        <v>0</v>
      </c>
      <c r="K236" s="2309"/>
      <c r="L236" s="2309">
        <f>'5. T4 RAHOITUSSUUN.'!R27</f>
        <v>0</v>
      </c>
      <c r="M236" s="2309"/>
      <c r="N236" s="2309">
        <f>'5. T4 RAHOITUSSUUN.'!S27</f>
        <v>0</v>
      </c>
      <c r="O236" s="2309"/>
      <c r="P236" s="2309">
        <f>'5. T4 RAHOITUSSUUN.'!T27</f>
        <v>0</v>
      </c>
      <c r="Q236" s="2309"/>
      <c r="R236" s="817"/>
    </row>
    <row r="237" spans="2:18" ht="12.6" customHeight="1" x14ac:dyDescent="0.25">
      <c r="B237" s="346"/>
      <c r="C237" s="732"/>
      <c r="D237" s="2329" t="s">
        <v>358</v>
      </c>
      <c r="E237" s="2330"/>
      <c r="F237" s="2330"/>
      <c r="G237" s="2330"/>
      <c r="H237" s="2330"/>
      <c r="I237" s="2330"/>
      <c r="J237" s="2313">
        <f>'5. T4 RAHOITUSSUUN.'!Q28</f>
        <v>0</v>
      </c>
      <c r="K237" s="2313"/>
      <c r="L237" s="2313">
        <f>'5. T4 RAHOITUSSUUN.'!R28</f>
        <v>0</v>
      </c>
      <c r="M237" s="2313"/>
      <c r="N237" s="2313">
        <f>'5. T4 RAHOITUSSUUN.'!S28</f>
        <v>0</v>
      </c>
      <c r="O237" s="2313"/>
      <c r="P237" s="2313">
        <f>'5. T4 RAHOITUSSUUN.'!T28</f>
        <v>0</v>
      </c>
      <c r="Q237" s="2313"/>
      <c r="R237" s="819"/>
    </row>
    <row r="238" spans="2:18" ht="12.6" customHeight="1" x14ac:dyDescent="0.25">
      <c r="C238" s="2286" t="s">
        <v>372</v>
      </c>
      <c r="D238" s="2286"/>
      <c r="E238" s="2286"/>
      <c r="F238" s="2286"/>
      <c r="G238" s="2286"/>
      <c r="H238" s="2286"/>
      <c r="I238" s="2286"/>
      <c r="J238" s="2309">
        <f>'5. T4 RAHOITUSSUUN.'!Q29</f>
        <v>0</v>
      </c>
      <c r="K238" s="2309"/>
      <c r="L238" s="2309">
        <f>'5. T4 RAHOITUSSUUN.'!R29</f>
        <v>0</v>
      </c>
      <c r="M238" s="2309"/>
      <c r="N238" s="2309">
        <f>'5. T4 RAHOITUSSUUN.'!S29</f>
        <v>0</v>
      </c>
      <c r="O238" s="2309"/>
      <c r="P238" s="2309">
        <f>'5. T4 RAHOITUSSUUN.'!T29</f>
        <v>0</v>
      </c>
      <c r="Q238" s="2309"/>
      <c r="R238" s="817"/>
    </row>
    <row r="239" spans="2:18" ht="12.6" customHeight="1" x14ac:dyDescent="0.25">
      <c r="B239" s="346"/>
      <c r="C239" s="732"/>
      <c r="D239" s="2329" t="s">
        <v>358</v>
      </c>
      <c r="E239" s="2330"/>
      <c r="F239" s="2330"/>
      <c r="G239" s="2330"/>
      <c r="H239" s="2330"/>
      <c r="I239" s="2330"/>
      <c r="J239" s="2313">
        <f>'5. T4 RAHOITUSSUUN.'!Q30</f>
        <v>0</v>
      </c>
      <c r="K239" s="2313"/>
      <c r="L239" s="2313">
        <f>'5. T4 RAHOITUSSUUN.'!R30</f>
        <v>0</v>
      </c>
      <c r="M239" s="2313"/>
      <c r="N239" s="2313">
        <f>'5. T4 RAHOITUSSUUN.'!S30</f>
        <v>0</v>
      </c>
      <c r="O239" s="2313"/>
      <c r="P239" s="2313">
        <f>'5. T4 RAHOITUSSUUN.'!T30</f>
        <v>0</v>
      </c>
      <c r="Q239" s="2313"/>
      <c r="R239" s="819"/>
    </row>
    <row r="240" spans="2:18" ht="12.6" customHeight="1" x14ac:dyDescent="0.25">
      <c r="C240" s="2286" t="s">
        <v>676</v>
      </c>
      <c r="D240" s="2286"/>
      <c r="E240" s="2286"/>
      <c r="F240" s="2286"/>
      <c r="G240" s="2286"/>
      <c r="H240" s="2286"/>
      <c r="I240" s="2286"/>
      <c r="J240" s="2309">
        <f>'5. T4 RAHOITUSSUUN.'!Q31</f>
        <v>0</v>
      </c>
      <c r="K240" s="2309"/>
      <c r="L240" s="2309">
        <f>'5. T4 RAHOITUSSUUN.'!R31</f>
        <v>0</v>
      </c>
      <c r="M240" s="2309"/>
      <c r="N240" s="2309">
        <f>'5. T4 RAHOITUSSUUN.'!S31</f>
        <v>0</v>
      </c>
      <c r="O240" s="2309"/>
      <c r="P240" s="2309">
        <f>'5. T4 RAHOITUSSUUN.'!T31</f>
        <v>0</v>
      </c>
      <c r="Q240" s="2309"/>
      <c r="R240" s="817"/>
    </row>
    <row r="241" spans="2:18" ht="12.6" customHeight="1" x14ac:dyDescent="0.25">
      <c r="C241" s="2286" t="s">
        <v>377</v>
      </c>
      <c r="D241" s="2286"/>
      <c r="E241" s="2286"/>
      <c r="F241" s="2286"/>
      <c r="G241" s="2286"/>
      <c r="H241" s="2286"/>
      <c r="I241" s="2286"/>
      <c r="J241" s="2309">
        <f>'5. T4 RAHOITUSSUUN.'!Q32</f>
        <v>0</v>
      </c>
      <c r="K241" s="2309"/>
      <c r="L241" s="2309">
        <f>'5. T4 RAHOITUSSUUN.'!R32</f>
        <v>0</v>
      </c>
      <c r="M241" s="2309"/>
      <c r="N241" s="2309">
        <f>'5. T4 RAHOITUSSUUN.'!S32</f>
        <v>0</v>
      </c>
      <c r="O241" s="2309"/>
      <c r="P241" s="2309">
        <f>'5. T4 RAHOITUSSUUN.'!T32</f>
        <v>0</v>
      </c>
      <c r="Q241" s="2309"/>
      <c r="R241" s="817"/>
    </row>
    <row r="242" spans="2:18" ht="12.6" customHeight="1" thickBot="1" x14ac:dyDescent="0.3">
      <c r="B242" s="346"/>
      <c r="C242" s="733"/>
      <c r="D242" s="2287" t="s">
        <v>358</v>
      </c>
      <c r="E242" s="2288"/>
      <c r="F242" s="2288"/>
      <c r="G242" s="2288"/>
      <c r="H242" s="2288"/>
      <c r="I242" s="2288"/>
      <c r="J242" s="2310">
        <f>'5. T4 RAHOITUSSUUN.'!Q33</f>
        <v>0</v>
      </c>
      <c r="K242" s="2310"/>
      <c r="L242" s="2310">
        <f>'5. T4 RAHOITUSSUUN.'!R33</f>
        <v>0</v>
      </c>
      <c r="M242" s="2310"/>
      <c r="N242" s="2310">
        <f>'5. T4 RAHOITUSSUUN.'!S33</f>
        <v>0</v>
      </c>
      <c r="O242" s="2310"/>
      <c r="P242" s="2310">
        <f>'5. T4 RAHOITUSSUUN.'!T33</f>
        <v>0</v>
      </c>
      <c r="Q242" s="2310"/>
      <c r="R242" s="819"/>
    </row>
    <row r="243" spans="2:18" ht="12.6" customHeight="1" x14ac:dyDescent="0.25">
      <c r="C243" s="1822" t="s">
        <v>677</v>
      </c>
      <c r="D243" s="1822"/>
      <c r="E243" s="1822"/>
      <c r="F243" s="1822"/>
      <c r="G243" s="115"/>
      <c r="H243" s="115"/>
      <c r="J243" s="912"/>
      <c r="K243" s="912"/>
      <c r="L243" s="912"/>
      <c r="M243" s="912"/>
      <c r="N243" s="912"/>
      <c r="O243" s="912"/>
      <c r="P243" s="912"/>
      <c r="Q243" s="912"/>
      <c r="R243" s="115"/>
    </row>
    <row r="244" spans="2:18" ht="12.6" customHeight="1" x14ac:dyDescent="0.25">
      <c r="C244" s="2286" t="s">
        <v>382</v>
      </c>
      <c r="D244" s="2286"/>
      <c r="E244" s="2286"/>
      <c r="F244" s="2286"/>
      <c r="G244" s="2286"/>
      <c r="H244" s="2286"/>
      <c r="I244" s="2286"/>
      <c r="J244" s="2312">
        <f>'5. T4 RAHOITUSSUUN.'!Q35</f>
        <v>0</v>
      </c>
      <c r="K244" s="2312"/>
      <c r="L244" s="2312">
        <f>'5. T4 RAHOITUSSUUN.'!R35</f>
        <v>0</v>
      </c>
      <c r="M244" s="2312"/>
      <c r="N244" s="2312">
        <f>'5. T4 RAHOITUSSUUN.'!S35</f>
        <v>0</v>
      </c>
      <c r="O244" s="2312"/>
      <c r="P244" s="2312">
        <f>'5. T4 RAHOITUSSUUN.'!T35</f>
        <v>0</v>
      </c>
      <c r="Q244" s="2312"/>
      <c r="R244" s="821"/>
    </row>
    <row r="245" spans="2:18" ht="12.6" customHeight="1" x14ac:dyDescent="0.25">
      <c r="B245" s="346"/>
      <c r="C245" s="732"/>
      <c r="D245" s="2289" t="s">
        <v>358</v>
      </c>
      <c r="E245" s="2290"/>
      <c r="F245" s="2290"/>
      <c r="G245" s="2290"/>
      <c r="H245" s="2290"/>
      <c r="I245" s="2290"/>
      <c r="J245" s="2311">
        <f>'5. T4 RAHOITUSSUUN.'!Q36</f>
        <v>0</v>
      </c>
      <c r="K245" s="2311"/>
      <c r="L245" s="2311">
        <f>'5. T4 RAHOITUSSUUN.'!R36</f>
        <v>0</v>
      </c>
      <c r="M245" s="2311"/>
      <c r="N245" s="2311">
        <f>'5. T4 RAHOITUSSUUN.'!S36</f>
        <v>0</v>
      </c>
      <c r="O245" s="2311"/>
      <c r="P245" s="2311">
        <f>'5. T4 RAHOITUSSUUN.'!T36</f>
        <v>0</v>
      </c>
      <c r="Q245" s="2311"/>
      <c r="R245" s="666"/>
    </row>
    <row r="246" spans="2:18" ht="12.6" customHeight="1" x14ac:dyDescent="0.25">
      <c r="C246" s="2286" t="s">
        <v>385</v>
      </c>
      <c r="D246" s="2286"/>
      <c r="E246" s="2286"/>
      <c r="F246" s="2286"/>
      <c r="G246" s="2286"/>
      <c r="H246" s="2286"/>
      <c r="I246" s="2286"/>
      <c r="J246" s="2450">
        <f>'5. T4 RAHOITUSSUUN.'!Q37</f>
        <v>0</v>
      </c>
      <c r="K246" s="2450"/>
      <c r="L246" s="2450">
        <f>'5. T4 RAHOITUSSUUN.'!R37</f>
        <v>0</v>
      </c>
      <c r="M246" s="2450"/>
      <c r="N246" s="2450">
        <f>'5. T4 RAHOITUSSUUN.'!S37</f>
        <v>0</v>
      </c>
      <c r="O246" s="2450"/>
      <c r="P246" s="2450">
        <f>'5. T4 RAHOITUSSUUN.'!T37</f>
        <v>0</v>
      </c>
      <c r="Q246" s="2450"/>
      <c r="R246" s="820"/>
    </row>
    <row r="247" spans="2:18" ht="12.6" customHeight="1" thickBot="1" x14ac:dyDescent="0.3">
      <c r="B247" s="346"/>
      <c r="C247" s="846"/>
      <c r="D247" s="2331" t="s">
        <v>358</v>
      </c>
      <c r="E247" s="2332"/>
      <c r="F247" s="2332"/>
      <c r="G247" s="2332"/>
      <c r="H247" s="2332"/>
      <c r="I247" s="2332"/>
      <c r="J247" s="2451" t="str">
        <f>'5. T4 RAHOITUSSUUN.'!Q38</f>
        <v/>
      </c>
      <c r="K247" s="2451"/>
      <c r="L247" s="2451" t="str">
        <f>'5. T4 RAHOITUSSUUN.'!R38</f>
        <v/>
      </c>
      <c r="M247" s="2451"/>
      <c r="N247" s="2451" t="str">
        <f>'5. T4 RAHOITUSSUUN.'!S38</f>
        <v/>
      </c>
      <c r="O247" s="2451"/>
      <c r="P247" s="2451" t="str">
        <f>'5. T4 RAHOITUSSUUN.'!T38</f>
        <v/>
      </c>
      <c r="Q247" s="2451"/>
      <c r="R247" s="666"/>
    </row>
    <row r="248" spans="2:18" ht="6.6" customHeight="1" x14ac:dyDescent="0.25">
      <c r="B248" s="346"/>
      <c r="C248" s="4"/>
      <c r="D248" s="734"/>
      <c r="E248" s="735"/>
      <c r="F248" s="4"/>
      <c r="G248" s="734"/>
      <c r="H248" s="735"/>
      <c r="I248" s="845"/>
      <c r="J248" s="845"/>
      <c r="K248" s="845"/>
      <c r="L248" s="845"/>
      <c r="M248" s="845"/>
      <c r="N248" s="845"/>
      <c r="O248" s="845"/>
      <c r="P248" s="845"/>
      <c r="Q248" s="737"/>
      <c r="R248" s="666"/>
    </row>
    <row r="249" spans="2:18" x14ac:dyDescent="0.25">
      <c r="B249" s="40" t="str">
        <f>OHJE!F6</f>
        <v>Palvelun tarjoavat</v>
      </c>
      <c r="H249" s="113"/>
      <c r="I249" s="742"/>
      <c r="J249" s="743"/>
      <c r="K249" s="743"/>
      <c r="L249" s="743"/>
      <c r="M249" s="743"/>
      <c r="N249" s="743"/>
      <c r="O249" s="743"/>
      <c r="P249" s="743"/>
      <c r="Q249" s="435"/>
      <c r="R249" s="1613"/>
    </row>
    <row r="250" spans="2:18" ht="12.6" customHeight="1" x14ac:dyDescent="0.25">
      <c r="B250" s="2215" t="str">
        <f>OHJE!G8</f>
        <v>Iisalmi, Lapinlahti, Sonkajärvi, Vieremä</v>
      </c>
      <c r="C250" s="2215"/>
      <c r="D250" s="2215"/>
      <c r="E250" s="2215"/>
      <c r="F250" s="2215"/>
      <c r="G250" s="2215"/>
      <c r="H250" s="2215"/>
      <c r="I250" s="2215"/>
      <c r="J250" s="2215"/>
      <c r="K250" s="2215"/>
      <c r="L250" s="2215"/>
      <c r="M250" s="2215"/>
      <c r="N250" s="736"/>
      <c r="O250" s="736"/>
      <c r="P250" s="736"/>
      <c r="Q250" s="737"/>
      <c r="R250" s="1625" t="s">
        <v>5</v>
      </c>
    </row>
    <row r="251" spans="2:18" ht="12.6" customHeight="1" x14ac:dyDescent="0.25">
      <c r="B251" s="346"/>
      <c r="C251" s="4"/>
      <c r="D251" s="734"/>
      <c r="E251" s="735"/>
      <c r="F251" s="4"/>
      <c r="G251" s="734"/>
      <c r="H251" s="735"/>
      <c r="I251" s="736"/>
      <c r="J251" s="736"/>
      <c r="K251" s="736"/>
      <c r="L251" s="736"/>
      <c r="M251" s="736"/>
      <c r="N251" s="736"/>
      <c r="O251" s="736"/>
      <c r="P251" s="736"/>
      <c r="Q251" s="737"/>
      <c r="R251" s="666"/>
    </row>
    <row r="252" spans="2:18" ht="11.25" customHeight="1" x14ac:dyDescent="0.25">
      <c r="B252" s="434" t="s">
        <v>3</v>
      </c>
      <c r="C252" s="435"/>
      <c r="D252" s="435"/>
      <c r="E252" s="435"/>
      <c r="F252" s="435"/>
      <c r="G252" s="436"/>
      <c r="H252" s="428"/>
      <c r="J252" s="2314"/>
      <c r="K252" s="2314"/>
      <c r="L252" s="2314"/>
      <c r="M252" s="2314"/>
      <c r="N252" s="2314"/>
      <c r="O252" s="2314"/>
      <c r="P252" s="2314"/>
      <c r="Q252" s="2314"/>
      <c r="R252" s="2314"/>
    </row>
    <row r="253" spans="2:18" ht="13.8" x14ac:dyDescent="0.25">
      <c r="B253" s="1629" t="s">
        <v>338</v>
      </c>
      <c r="C253" s="740"/>
      <c r="D253" s="665"/>
      <c r="E253" s="665"/>
      <c r="F253" s="116"/>
      <c r="G253" s="113"/>
      <c r="H253" s="113"/>
      <c r="I253" s="113"/>
      <c r="J253" s="113"/>
      <c r="K253" s="113"/>
      <c r="M253" s="116"/>
      <c r="N253" s="113"/>
      <c r="O253" s="113"/>
      <c r="P253" s="113"/>
      <c r="Q253" s="113"/>
      <c r="R253" s="113"/>
    </row>
    <row r="254" spans="2:18" x14ac:dyDescent="0.25">
      <c r="B254" s="665"/>
      <c r="C254" s="665"/>
      <c r="D254" s="665"/>
      <c r="E254" s="665"/>
      <c r="F254" s="1822"/>
      <c r="G254" s="701"/>
      <c r="H254" s="701"/>
      <c r="I254" s="701"/>
      <c r="J254" s="701"/>
      <c r="K254" s="701"/>
      <c r="M254" s="2258"/>
      <c r="N254" s="2258"/>
      <c r="O254" s="113"/>
      <c r="P254" s="113"/>
      <c r="Q254" s="113"/>
      <c r="R254" s="113"/>
    </row>
    <row r="255" spans="2:18" x14ac:dyDescent="0.25">
      <c r="B255" s="1628">
        <f>B7</f>
        <v>0</v>
      </c>
      <c r="C255" s="665"/>
      <c r="D255" s="665"/>
      <c r="E255" s="665"/>
      <c r="F255" s="1822"/>
      <c r="G255" s="701"/>
      <c r="H255" s="701"/>
      <c r="I255" s="701"/>
      <c r="J255" s="701"/>
      <c r="K255" s="701"/>
      <c r="M255" s="739"/>
      <c r="N255" s="739"/>
      <c r="O255" s="113"/>
      <c r="P255" s="113"/>
      <c r="Q255" s="113"/>
      <c r="R255" s="113"/>
    </row>
    <row r="256" spans="2:18" x14ac:dyDescent="0.25">
      <c r="B256" s="113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</row>
    <row r="257" spans="2:18" x14ac:dyDescent="0.25">
      <c r="B257" s="113"/>
      <c r="C257" s="113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  <c r="Q257" s="113"/>
      <c r="R257" s="113"/>
    </row>
    <row r="258" spans="2:18" x14ac:dyDescent="0.25">
      <c r="B258" s="113"/>
      <c r="C258" s="113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  <c r="Q258" s="113"/>
      <c r="R258" s="113"/>
    </row>
    <row r="259" spans="2:18" x14ac:dyDescent="0.25">
      <c r="B259" s="113"/>
      <c r="C259" s="113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  <c r="Q259" s="113"/>
      <c r="R259" s="113"/>
    </row>
    <row r="260" spans="2:18" x14ac:dyDescent="0.25">
      <c r="B260" s="113"/>
      <c r="C260" s="113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  <c r="Q260" s="113"/>
      <c r="R260" s="113"/>
    </row>
    <row r="261" spans="2:18" x14ac:dyDescent="0.25">
      <c r="B261" s="113"/>
      <c r="C261" s="113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  <c r="R261" s="113"/>
    </row>
    <row r="262" spans="2:18" x14ac:dyDescent="0.25">
      <c r="B262" s="113"/>
      <c r="C262" s="113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  <c r="Q262" s="113"/>
      <c r="R262" s="113"/>
    </row>
    <row r="263" spans="2:18" x14ac:dyDescent="0.25">
      <c r="B263" s="113"/>
      <c r="C263" s="113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</row>
    <row r="264" spans="2:18" x14ac:dyDescent="0.25">
      <c r="B264" s="113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</row>
    <row r="265" spans="2:18" x14ac:dyDescent="0.25">
      <c r="B265" s="113"/>
      <c r="C265" s="113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</row>
    <row r="266" spans="2:18" x14ac:dyDescent="0.25">
      <c r="B266" s="113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</row>
    <row r="267" spans="2:18" x14ac:dyDescent="0.25">
      <c r="B267" s="113"/>
      <c r="C267" s="113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</row>
    <row r="268" spans="2:18" x14ac:dyDescent="0.25">
      <c r="B268" s="113"/>
      <c r="C268" s="113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</row>
    <row r="269" spans="2:18" x14ac:dyDescent="0.25">
      <c r="B269" s="113"/>
      <c r="C269" s="113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</row>
    <row r="270" spans="2:18" x14ac:dyDescent="0.25">
      <c r="B270" s="113"/>
      <c r="C270" s="113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</row>
    <row r="271" spans="2:18" x14ac:dyDescent="0.25">
      <c r="B271" s="113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</row>
    <row r="272" spans="2:18" x14ac:dyDescent="0.25">
      <c r="B272" s="113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</row>
    <row r="273" spans="2:18" x14ac:dyDescent="0.25">
      <c r="B273" s="113"/>
      <c r="C273" s="113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</row>
    <row r="274" spans="2:18" x14ac:dyDescent="0.25">
      <c r="B274" s="113"/>
      <c r="C274" s="113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</row>
    <row r="275" spans="2:18" x14ac:dyDescent="0.25">
      <c r="B275" s="113"/>
      <c r="C275" s="113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</row>
    <row r="276" spans="2:18" x14ac:dyDescent="0.25">
      <c r="B276" s="113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</row>
    <row r="277" spans="2:18" x14ac:dyDescent="0.25">
      <c r="B277" s="113"/>
      <c r="C277" s="113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</row>
    <row r="278" spans="2:18" x14ac:dyDescent="0.25">
      <c r="B278" s="113"/>
      <c r="C278" s="113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</row>
    <row r="279" spans="2:18" x14ac:dyDescent="0.25">
      <c r="B279" s="113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</row>
    <row r="280" spans="2:18" x14ac:dyDescent="0.25">
      <c r="B280" s="113"/>
      <c r="C280" s="113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</row>
    <row r="281" spans="2:18" x14ac:dyDescent="0.25">
      <c r="B281" s="113"/>
      <c r="C281" s="113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</row>
    <row r="282" spans="2:18" x14ac:dyDescent="0.25">
      <c r="B282" s="113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</row>
    <row r="283" spans="2:18" x14ac:dyDescent="0.25">
      <c r="B283" s="113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</row>
    <row r="284" spans="2:18" x14ac:dyDescent="0.25">
      <c r="B284" s="113"/>
      <c r="C284" s="113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</row>
    <row r="285" spans="2:18" x14ac:dyDescent="0.25">
      <c r="B285" s="113"/>
      <c r="C285" s="113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</row>
    <row r="286" spans="2:18" x14ac:dyDescent="0.25">
      <c r="B286" s="113"/>
      <c r="C286" s="113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</row>
    <row r="287" spans="2:18" x14ac:dyDescent="0.25">
      <c r="B287" s="113"/>
      <c r="C287" s="113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</row>
    <row r="288" spans="2:18" x14ac:dyDescent="0.25">
      <c r="B288" s="113"/>
      <c r="C288" s="113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</row>
    <row r="289" spans="2:21" x14ac:dyDescent="0.25">
      <c r="B289" s="113"/>
      <c r="C289" s="113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</row>
    <row r="290" spans="2:21" x14ac:dyDescent="0.25">
      <c r="B290" s="113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</row>
    <row r="291" spans="2:21" x14ac:dyDescent="0.25">
      <c r="B291" s="113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U291" s="535" t="s">
        <v>3</v>
      </c>
    </row>
    <row r="292" spans="2:21" x14ac:dyDescent="0.25">
      <c r="B292" s="113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</row>
    <row r="293" spans="2:21" x14ac:dyDescent="0.25">
      <c r="B293" s="113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</row>
    <row r="294" spans="2:21" ht="13.5" customHeight="1" x14ac:dyDescent="0.25">
      <c r="B294" s="113"/>
      <c r="C294" s="113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</row>
    <row r="295" spans="2:21" ht="12" customHeight="1" x14ac:dyDescent="0.25">
      <c r="B295" s="113"/>
      <c r="C295" s="113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</row>
    <row r="296" spans="2:21" x14ac:dyDescent="0.25">
      <c r="B296" s="113"/>
      <c r="C296" s="113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</row>
    <row r="297" spans="2:21" x14ac:dyDescent="0.25">
      <c r="B297" s="113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</row>
    <row r="298" spans="2:21" x14ac:dyDescent="0.25">
      <c r="B298" s="113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</row>
    <row r="299" spans="2:21" x14ac:dyDescent="0.25"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</row>
    <row r="300" spans="2:21" x14ac:dyDescent="0.25">
      <c r="B300" s="113"/>
      <c r="C300" s="113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</row>
    <row r="301" spans="2:21" x14ac:dyDescent="0.25">
      <c r="B301" s="113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</row>
    <row r="302" spans="2:21" x14ac:dyDescent="0.25">
      <c r="B302" s="113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</row>
    <row r="303" spans="2:21" x14ac:dyDescent="0.25">
      <c r="B303" s="113"/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</row>
    <row r="304" spans="2:21" x14ac:dyDescent="0.25">
      <c r="B304" s="113"/>
      <c r="C304" s="113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</row>
    <row r="305" spans="2:18" x14ac:dyDescent="0.25">
      <c r="B305" s="113"/>
      <c r="C305" s="113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</row>
    <row r="306" spans="2:18" x14ac:dyDescent="0.25">
      <c r="B306" s="113"/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</row>
    <row r="307" spans="2:18" x14ac:dyDescent="0.25"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</row>
    <row r="308" spans="2:18" x14ac:dyDescent="0.25">
      <c r="B308" s="113"/>
      <c r="C308" s="113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</row>
    <row r="309" spans="2:18" x14ac:dyDescent="0.25">
      <c r="B309" s="113"/>
      <c r="C309" s="113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</row>
    <row r="310" spans="2:18" x14ac:dyDescent="0.25">
      <c r="B310" s="113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</row>
    <row r="311" spans="2:18" x14ac:dyDescent="0.25">
      <c r="B311" s="113"/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</row>
    <row r="312" spans="2:18" x14ac:dyDescent="0.25">
      <c r="B312" s="113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</row>
    <row r="313" spans="2:18" x14ac:dyDescent="0.25">
      <c r="B313" s="113"/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</row>
    <row r="314" spans="2:18" x14ac:dyDescent="0.25">
      <c r="B314" s="113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</row>
    <row r="315" spans="2:18" x14ac:dyDescent="0.25">
      <c r="B315" s="113"/>
      <c r="C315" s="113"/>
      <c r="D315" s="113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</row>
    <row r="316" spans="2:18" x14ac:dyDescent="0.25">
      <c r="B316" s="113"/>
      <c r="C316" s="113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</row>
    <row r="317" spans="2:18" x14ac:dyDescent="0.25">
      <c r="B317" s="113"/>
      <c r="C317" s="113"/>
      <c r="D317" s="113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</row>
    <row r="318" spans="2:18" x14ac:dyDescent="0.25">
      <c r="B318" s="113"/>
      <c r="C318" s="113"/>
      <c r="D318" s="113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</row>
    <row r="319" spans="2:18" x14ac:dyDescent="0.25">
      <c r="B319" s="113"/>
      <c r="C319" s="113"/>
      <c r="D319" s="113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</row>
    <row r="320" spans="2:18" x14ac:dyDescent="0.25">
      <c r="B320" s="113"/>
      <c r="C320" s="113"/>
      <c r="D320" s="113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</row>
    <row r="321" spans="2:18" x14ac:dyDescent="0.25">
      <c r="B321" s="1748" t="str">
        <f>OHJE!F6</f>
        <v>Palvelun tarjoavat</v>
      </c>
      <c r="I321" s="1610"/>
      <c r="J321" s="1610"/>
      <c r="K321" s="1610"/>
      <c r="L321" s="1610"/>
      <c r="M321" s="1610"/>
      <c r="N321" s="1610"/>
      <c r="O321" s="1610"/>
      <c r="P321" s="1610"/>
      <c r="Q321" s="40"/>
      <c r="R321" s="123"/>
    </row>
    <row r="322" spans="2:18" x14ac:dyDescent="0.25">
      <c r="B322" s="2215" t="str">
        <f>OHJE!G8</f>
        <v>Iisalmi, Lapinlahti, Sonkajärvi, Vieremä</v>
      </c>
      <c r="C322" s="2215"/>
      <c r="D322" s="2215"/>
      <c r="E322" s="2215"/>
      <c r="F322" s="2215"/>
      <c r="G322" s="2215"/>
      <c r="H322" s="2215"/>
      <c r="I322" s="2215"/>
      <c r="J322" s="2215"/>
      <c r="K322" s="2215"/>
      <c r="L322" s="2215"/>
      <c r="M322" s="2215"/>
      <c r="R322" s="1624" t="s">
        <v>5</v>
      </c>
    </row>
    <row r="323" spans="2:18" x14ac:dyDescent="0.25">
      <c r="B323" s="1902" t="s">
        <v>3</v>
      </c>
      <c r="C323" s="1902"/>
      <c r="D323" s="1748"/>
      <c r="E323" s="1748"/>
      <c r="F323" s="1748"/>
    </row>
  </sheetData>
  <sheetProtection algorithmName="SHA-512" hashValue="wgsNJf4P5522vSBdrIdXues+m0ygULXt5cIK3NzjDZY2v3s8YhOv/YQknv0p1tXnuxDX1tO+k7WJMvn6LPMFtQ==" saltValue="2wLxb/TWDbqrwfcAdq4XLQ==" spinCount="100000" sheet="1" objects="1" scenarios="1" selectLockedCells="1"/>
  <mergeCells count="693">
    <mergeCell ref="B210:C210"/>
    <mergeCell ref="B211:C211"/>
    <mergeCell ref="B212:C212"/>
    <mergeCell ref="B218:C218"/>
    <mergeCell ref="B217:C217"/>
    <mergeCell ref="B216:C216"/>
    <mergeCell ref="B215:C215"/>
    <mergeCell ref="B11:H11"/>
    <mergeCell ref="B13:H13"/>
    <mergeCell ref="C101:D101"/>
    <mergeCell ref="C127:D127"/>
    <mergeCell ref="C144:G144"/>
    <mergeCell ref="C137:G137"/>
    <mergeCell ref="B133:J134"/>
    <mergeCell ref="G130:H130"/>
    <mergeCell ref="I130:J130"/>
    <mergeCell ref="G128:H128"/>
    <mergeCell ref="I128:J128"/>
    <mergeCell ref="G126:H126"/>
    <mergeCell ref="I126:J126"/>
    <mergeCell ref="G124:H124"/>
    <mergeCell ref="I124:J124"/>
    <mergeCell ref="G122:H122"/>
    <mergeCell ref="C150:F150"/>
    <mergeCell ref="Q174:R174"/>
    <mergeCell ref="K176:L176"/>
    <mergeCell ref="M176:N176"/>
    <mergeCell ref="O176:P176"/>
    <mergeCell ref="Q176:R176"/>
    <mergeCell ref="M175:N175"/>
    <mergeCell ref="O175:P175"/>
    <mergeCell ref="Q175:R175"/>
    <mergeCell ref="B209:C209"/>
    <mergeCell ref="Q184:R184"/>
    <mergeCell ref="B205:C205"/>
    <mergeCell ref="B194:C194"/>
    <mergeCell ref="B195:C195"/>
    <mergeCell ref="B196:C196"/>
    <mergeCell ref="B197:C197"/>
    <mergeCell ref="B199:C199"/>
    <mergeCell ref="B200:C200"/>
    <mergeCell ref="B201:C201"/>
    <mergeCell ref="B202:C202"/>
    <mergeCell ref="B204:C204"/>
    <mergeCell ref="D190:D193"/>
    <mergeCell ref="G190:I191"/>
    <mergeCell ref="J190:L191"/>
    <mergeCell ref="M190:O191"/>
    <mergeCell ref="Q157:R157"/>
    <mergeCell ref="Q160:R160"/>
    <mergeCell ref="K177:L177"/>
    <mergeCell ref="M177:N177"/>
    <mergeCell ref="O177:P177"/>
    <mergeCell ref="K161:L161"/>
    <mergeCell ref="Q183:R183"/>
    <mergeCell ref="Q172:R172"/>
    <mergeCell ref="M167:N167"/>
    <mergeCell ref="K157:L157"/>
    <mergeCell ref="M157:N157"/>
    <mergeCell ref="Q161:R161"/>
    <mergeCell ref="K158:L158"/>
    <mergeCell ref="M158:N158"/>
    <mergeCell ref="O158:P158"/>
    <mergeCell ref="Q158:R158"/>
    <mergeCell ref="M171:N171"/>
    <mergeCell ref="O171:P171"/>
    <mergeCell ref="Q180:R180"/>
    <mergeCell ref="M179:N179"/>
    <mergeCell ref="O179:P179"/>
    <mergeCell ref="Q179:R179"/>
    <mergeCell ref="K174:L174"/>
    <mergeCell ref="O174:P174"/>
    <mergeCell ref="N233:O233"/>
    <mergeCell ref="Q185:R185"/>
    <mergeCell ref="K156:L156"/>
    <mergeCell ref="M156:N156"/>
    <mergeCell ref="O156:P156"/>
    <mergeCell ref="Q156:R156"/>
    <mergeCell ref="K159:L159"/>
    <mergeCell ref="M159:N159"/>
    <mergeCell ref="O159:P159"/>
    <mergeCell ref="Q159:R159"/>
    <mergeCell ref="K182:L182"/>
    <mergeCell ref="M182:N182"/>
    <mergeCell ref="O182:P182"/>
    <mergeCell ref="Q182:R182"/>
    <mergeCell ref="K173:L173"/>
    <mergeCell ref="M173:N173"/>
    <mergeCell ref="O173:P173"/>
    <mergeCell ref="Q173:R173"/>
    <mergeCell ref="K175:L175"/>
    <mergeCell ref="K179:L179"/>
    <mergeCell ref="Q177:R177"/>
    <mergeCell ref="J233:K233"/>
    <mergeCell ref="O172:P172"/>
    <mergeCell ref="P192:R192"/>
    <mergeCell ref="K155:L155"/>
    <mergeCell ref="L2:M2"/>
    <mergeCell ref="O151:P151"/>
    <mergeCell ref="Q151:R151"/>
    <mergeCell ref="K178:L178"/>
    <mergeCell ref="M178:N178"/>
    <mergeCell ref="O178:P178"/>
    <mergeCell ref="K181:L181"/>
    <mergeCell ref="M181:N181"/>
    <mergeCell ref="O181:P181"/>
    <mergeCell ref="Q181:R181"/>
    <mergeCell ref="Q178:R178"/>
    <mergeCell ref="K180:L180"/>
    <mergeCell ref="M180:N180"/>
    <mergeCell ref="O180:P180"/>
    <mergeCell ref="M174:N174"/>
    <mergeCell ref="Q170:R170"/>
    <mergeCell ref="K171:L171"/>
    <mergeCell ref="Q154:R154"/>
    <mergeCell ref="M155:N155"/>
    <mergeCell ref="O155:P155"/>
    <mergeCell ref="Q155:R155"/>
    <mergeCell ref="Q171:R171"/>
    <mergeCell ref="M151:N151"/>
    <mergeCell ref="D237:I237"/>
    <mergeCell ref="K154:L154"/>
    <mergeCell ref="M154:N154"/>
    <mergeCell ref="O154:P154"/>
    <mergeCell ref="M161:N161"/>
    <mergeCell ref="O161:P161"/>
    <mergeCell ref="K185:L185"/>
    <mergeCell ref="M185:N185"/>
    <mergeCell ref="O185:P185"/>
    <mergeCell ref="K183:L183"/>
    <mergeCell ref="M183:N183"/>
    <mergeCell ref="O183:P183"/>
    <mergeCell ref="K172:L172"/>
    <mergeCell ref="M172:N172"/>
    <mergeCell ref="M166:N166"/>
    <mergeCell ref="O157:P157"/>
    <mergeCell ref="N236:O236"/>
    <mergeCell ref="P236:Q236"/>
    <mergeCell ref="J237:K237"/>
    <mergeCell ref="L237:M237"/>
    <mergeCell ref="N237:O237"/>
    <mergeCell ref="P237:Q237"/>
    <mergeCell ref="E190:E193"/>
    <mergeCell ref="F190:F193"/>
    <mergeCell ref="M254:N254"/>
    <mergeCell ref="K160:L160"/>
    <mergeCell ref="M160:N160"/>
    <mergeCell ref="O160:P160"/>
    <mergeCell ref="K170:L170"/>
    <mergeCell ref="M170:N170"/>
    <mergeCell ref="O170:P170"/>
    <mergeCell ref="K184:L184"/>
    <mergeCell ref="M184:N184"/>
    <mergeCell ref="O184:P184"/>
    <mergeCell ref="P233:Q233"/>
    <mergeCell ref="J246:K246"/>
    <mergeCell ref="L246:M246"/>
    <mergeCell ref="N246:O246"/>
    <mergeCell ref="P246:Q246"/>
    <mergeCell ref="J247:K247"/>
    <mergeCell ref="L247:M247"/>
    <mergeCell ref="N247:O247"/>
    <mergeCell ref="P247:Q247"/>
    <mergeCell ref="L233:M233"/>
    <mergeCell ref="P234:Q234"/>
    <mergeCell ref="N234:O234"/>
    <mergeCell ref="L234:M234"/>
    <mergeCell ref="J234:K234"/>
    <mergeCell ref="C147:J147"/>
    <mergeCell ref="K147:L147"/>
    <mergeCell ref="M147:N147"/>
    <mergeCell ref="K153:L153"/>
    <mergeCell ref="M153:N153"/>
    <mergeCell ref="O153:P153"/>
    <mergeCell ref="Q153:R153"/>
    <mergeCell ref="O147:P147"/>
    <mergeCell ref="C148:F148"/>
    <mergeCell ref="C149:E149"/>
    <mergeCell ref="K144:L144"/>
    <mergeCell ref="M144:N144"/>
    <mergeCell ref="O144:P144"/>
    <mergeCell ref="Q144:R144"/>
    <mergeCell ref="Q147:R147"/>
    <mergeCell ref="C152:G152"/>
    <mergeCell ref="K152:L152"/>
    <mergeCell ref="M152:N152"/>
    <mergeCell ref="O152:P152"/>
    <mergeCell ref="Q152:R152"/>
    <mergeCell ref="K148:L148"/>
    <mergeCell ref="K149:L149"/>
    <mergeCell ref="K150:L150"/>
    <mergeCell ref="K151:L151"/>
    <mergeCell ref="M148:N148"/>
    <mergeCell ref="O148:P148"/>
    <mergeCell ref="Q148:R148"/>
    <mergeCell ref="M149:N149"/>
    <mergeCell ref="O149:P149"/>
    <mergeCell ref="Q149:R149"/>
    <mergeCell ref="M150:N150"/>
    <mergeCell ref="O150:P150"/>
    <mergeCell ref="Q150:R150"/>
    <mergeCell ref="C145:G145"/>
    <mergeCell ref="K145:L145"/>
    <mergeCell ref="M145:N145"/>
    <mergeCell ref="O145:P145"/>
    <mergeCell ref="Q145:R145"/>
    <mergeCell ref="C146:G146"/>
    <mergeCell ref="K146:L146"/>
    <mergeCell ref="M146:N146"/>
    <mergeCell ref="O146:P146"/>
    <mergeCell ref="Q146:R146"/>
    <mergeCell ref="K143:L143"/>
    <mergeCell ref="M143:N143"/>
    <mergeCell ref="O143:P143"/>
    <mergeCell ref="Q143:R143"/>
    <mergeCell ref="C139:G139"/>
    <mergeCell ref="K139:L139"/>
    <mergeCell ref="M139:N139"/>
    <mergeCell ref="O139:P139"/>
    <mergeCell ref="Q139:R139"/>
    <mergeCell ref="C140:G140"/>
    <mergeCell ref="K140:L140"/>
    <mergeCell ref="M140:N140"/>
    <mergeCell ref="O140:P140"/>
    <mergeCell ref="Q140:R140"/>
    <mergeCell ref="C141:J141"/>
    <mergeCell ref="K141:L141"/>
    <mergeCell ref="M141:N141"/>
    <mergeCell ref="O141:P141"/>
    <mergeCell ref="Q141:R141"/>
    <mergeCell ref="K142:L142"/>
    <mergeCell ref="M142:N142"/>
    <mergeCell ref="O142:P142"/>
    <mergeCell ref="Q142:R142"/>
    <mergeCell ref="K137:L137"/>
    <mergeCell ref="M137:N137"/>
    <mergeCell ref="O137:P137"/>
    <mergeCell ref="Q137:R137"/>
    <mergeCell ref="C138:G138"/>
    <mergeCell ref="K138:L138"/>
    <mergeCell ref="M138:N138"/>
    <mergeCell ref="O138:P138"/>
    <mergeCell ref="Q138:R138"/>
    <mergeCell ref="K135:L135"/>
    <mergeCell ref="M135:N135"/>
    <mergeCell ref="O135:P135"/>
    <mergeCell ref="Q135:R135"/>
    <mergeCell ref="C136:G136"/>
    <mergeCell ref="K136:L136"/>
    <mergeCell ref="M136:N136"/>
    <mergeCell ref="O136:P136"/>
    <mergeCell ref="Q136:R136"/>
    <mergeCell ref="K133:L133"/>
    <mergeCell ref="M133:N133"/>
    <mergeCell ref="O133:P133"/>
    <mergeCell ref="Q133:R133"/>
    <mergeCell ref="K134:L134"/>
    <mergeCell ref="M134:N134"/>
    <mergeCell ref="O134:P134"/>
    <mergeCell ref="Q134:R134"/>
    <mergeCell ref="G131:H131"/>
    <mergeCell ref="I131:J131"/>
    <mergeCell ref="K131:L131"/>
    <mergeCell ref="M131:N131"/>
    <mergeCell ref="O131:P131"/>
    <mergeCell ref="Q131:R131"/>
    <mergeCell ref="K130:L130"/>
    <mergeCell ref="M130:N130"/>
    <mergeCell ref="O130:P130"/>
    <mergeCell ref="Q130:R130"/>
    <mergeCell ref="G129:H129"/>
    <mergeCell ref="I129:J129"/>
    <mergeCell ref="K129:L129"/>
    <mergeCell ref="M129:N129"/>
    <mergeCell ref="O129:P129"/>
    <mergeCell ref="Q129:R129"/>
    <mergeCell ref="K128:L128"/>
    <mergeCell ref="M128:N128"/>
    <mergeCell ref="O128:P128"/>
    <mergeCell ref="Q128:R128"/>
    <mergeCell ref="G127:H127"/>
    <mergeCell ref="I127:J127"/>
    <mergeCell ref="K127:L127"/>
    <mergeCell ref="M127:N127"/>
    <mergeCell ref="O127:P127"/>
    <mergeCell ref="Q127:R127"/>
    <mergeCell ref="K126:L126"/>
    <mergeCell ref="M126:N126"/>
    <mergeCell ref="O126:P126"/>
    <mergeCell ref="Q126:R126"/>
    <mergeCell ref="G125:H125"/>
    <mergeCell ref="I125:J125"/>
    <mergeCell ref="K125:L125"/>
    <mergeCell ref="M125:N125"/>
    <mergeCell ref="O125:P125"/>
    <mergeCell ref="Q125:R125"/>
    <mergeCell ref="K124:L124"/>
    <mergeCell ref="M124:N124"/>
    <mergeCell ref="O124:P124"/>
    <mergeCell ref="Q124:R124"/>
    <mergeCell ref="I123:J123"/>
    <mergeCell ref="K123:L123"/>
    <mergeCell ref="M123:N123"/>
    <mergeCell ref="O123:P123"/>
    <mergeCell ref="Q123:R123"/>
    <mergeCell ref="I122:J122"/>
    <mergeCell ref="K122:L122"/>
    <mergeCell ref="M122:N122"/>
    <mergeCell ref="O122:P122"/>
    <mergeCell ref="Q122:R122"/>
    <mergeCell ref="I121:J121"/>
    <mergeCell ref="K121:L121"/>
    <mergeCell ref="M121:N121"/>
    <mergeCell ref="O121:P121"/>
    <mergeCell ref="Q121:R121"/>
    <mergeCell ref="G120:H120"/>
    <mergeCell ref="I120:J120"/>
    <mergeCell ref="K120:L120"/>
    <mergeCell ref="M120:N120"/>
    <mergeCell ref="O120:P120"/>
    <mergeCell ref="Q120:R120"/>
    <mergeCell ref="I119:J119"/>
    <mergeCell ref="K119:L119"/>
    <mergeCell ref="M119:N119"/>
    <mergeCell ref="O119:P119"/>
    <mergeCell ref="Q119:R119"/>
    <mergeCell ref="G118:H118"/>
    <mergeCell ref="I118:J118"/>
    <mergeCell ref="K118:L118"/>
    <mergeCell ref="M118:N118"/>
    <mergeCell ref="O118:P118"/>
    <mergeCell ref="Q118:R118"/>
    <mergeCell ref="I117:J117"/>
    <mergeCell ref="K117:L117"/>
    <mergeCell ref="M117:N117"/>
    <mergeCell ref="O117:P117"/>
    <mergeCell ref="Q117:R117"/>
    <mergeCell ref="G116:H116"/>
    <mergeCell ref="I116:J116"/>
    <mergeCell ref="K116:L116"/>
    <mergeCell ref="M116:N116"/>
    <mergeCell ref="O116:P116"/>
    <mergeCell ref="Q116:R116"/>
    <mergeCell ref="I115:J115"/>
    <mergeCell ref="K115:L115"/>
    <mergeCell ref="M115:N115"/>
    <mergeCell ref="O115:P115"/>
    <mergeCell ref="Q115:R115"/>
    <mergeCell ref="G114:H114"/>
    <mergeCell ref="I114:J114"/>
    <mergeCell ref="K114:L114"/>
    <mergeCell ref="M114:N114"/>
    <mergeCell ref="O114:P114"/>
    <mergeCell ref="Q114:R114"/>
    <mergeCell ref="I113:J113"/>
    <mergeCell ref="K113:L113"/>
    <mergeCell ref="M113:N113"/>
    <mergeCell ref="O113:P113"/>
    <mergeCell ref="Q113:R113"/>
    <mergeCell ref="I110:J110"/>
    <mergeCell ref="K110:L110"/>
    <mergeCell ref="M110:N110"/>
    <mergeCell ref="O110:P110"/>
    <mergeCell ref="Q110:R110"/>
    <mergeCell ref="G112:H112"/>
    <mergeCell ref="I112:J112"/>
    <mergeCell ref="K112:L112"/>
    <mergeCell ref="M112:N112"/>
    <mergeCell ref="O112:P112"/>
    <mergeCell ref="Q112:R112"/>
    <mergeCell ref="I111:J111"/>
    <mergeCell ref="K111:L111"/>
    <mergeCell ref="M111:N111"/>
    <mergeCell ref="O111:P111"/>
    <mergeCell ref="Q111:R111"/>
    <mergeCell ref="Q107:R107"/>
    <mergeCell ref="G108:H108"/>
    <mergeCell ref="I108:J108"/>
    <mergeCell ref="K108:L108"/>
    <mergeCell ref="M108:N108"/>
    <mergeCell ref="O108:P108"/>
    <mergeCell ref="Q108:R108"/>
    <mergeCell ref="G109:H109"/>
    <mergeCell ref="I109:J109"/>
    <mergeCell ref="G107:H107"/>
    <mergeCell ref="I107:J107"/>
    <mergeCell ref="K107:L107"/>
    <mergeCell ref="M107:N107"/>
    <mergeCell ref="O107:P107"/>
    <mergeCell ref="K109:L109"/>
    <mergeCell ref="M109:N109"/>
    <mergeCell ref="O109:P109"/>
    <mergeCell ref="Q109:R109"/>
    <mergeCell ref="M104:N104"/>
    <mergeCell ref="O104:P104"/>
    <mergeCell ref="Q104:R104"/>
    <mergeCell ref="G103:H103"/>
    <mergeCell ref="I103:J103"/>
    <mergeCell ref="K103:L103"/>
    <mergeCell ref="M103:N103"/>
    <mergeCell ref="O103:P103"/>
    <mergeCell ref="Q103:R103"/>
    <mergeCell ref="I97:J97"/>
    <mergeCell ref="K97:L97"/>
    <mergeCell ref="M97:N97"/>
    <mergeCell ref="O97:P97"/>
    <mergeCell ref="Q97:R97"/>
    <mergeCell ref="I100:J100"/>
    <mergeCell ref="K100:L100"/>
    <mergeCell ref="M100:N100"/>
    <mergeCell ref="O100:P100"/>
    <mergeCell ref="Q100:R100"/>
    <mergeCell ref="I99:J99"/>
    <mergeCell ref="K99:L99"/>
    <mergeCell ref="M99:N99"/>
    <mergeCell ref="O99:P99"/>
    <mergeCell ref="Q99:R99"/>
    <mergeCell ref="K98:L98"/>
    <mergeCell ref="M98:N98"/>
    <mergeCell ref="O98:P98"/>
    <mergeCell ref="Q98:R98"/>
    <mergeCell ref="K96:L96"/>
    <mergeCell ref="M96:N96"/>
    <mergeCell ref="O96:P96"/>
    <mergeCell ref="Q96:R96"/>
    <mergeCell ref="G95:H95"/>
    <mergeCell ref="I95:J95"/>
    <mergeCell ref="K95:L95"/>
    <mergeCell ref="M95:N95"/>
    <mergeCell ref="O95:P95"/>
    <mergeCell ref="Q95:R95"/>
    <mergeCell ref="G96:H96"/>
    <mergeCell ref="I96:J96"/>
    <mergeCell ref="K94:L94"/>
    <mergeCell ref="M94:N94"/>
    <mergeCell ref="O94:P94"/>
    <mergeCell ref="Q94:R94"/>
    <mergeCell ref="G93:H93"/>
    <mergeCell ref="I93:J93"/>
    <mergeCell ref="K93:L93"/>
    <mergeCell ref="M93:N93"/>
    <mergeCell ref="O93:P93"/>
    <mergeCell ref="Q93:R93"/>
    <mergeCell ref="G94:H94"/>
    <mergeCell ref="I94:J94"/>
    <mergeCell ref="K92:L92"/>
    <mergeCell ref="M92:N92"/>
    <mergeCell ref="O92:P92"/>
    <mergeCell ref="Q92:R92"/>
    <mergeCell ref="G91:H91"/>
    <mergeCell ref="I91:J91"/>
    <mergeCell ref="K91:L91"/>
    <mergeCell ref="M91:N91"/>
    <mergeCell ref="O91:P91"/>
    <mergeCell ref="Q91:R91"/>
    <mergeCell ref="G92:H92"/>
    <mergeCell ref="I92:J92"/>
    <mergeCell ref="K90:L90"/>
    <mergeCell ref="M90:N90"/>
    <mergeCell ref="O90:P90"/>
    <mergeCell ref="Q90:R90"/>
    <mergeCell ref="G89:H89"/>
    <mergeCell ref="I89:J89"/>
    <mergeCell ref="K89:L89"/>
    <mergeCell ref="M89:N89"/>
    <mergeCell ref="O89:P89"/>
    <mergeCell ref="Q89:R89"/>
    <mergeCell ref="G90:H90"/>
    <mergeCell ref="I90:J90"/>
    <mergeCell ref="B86:E87"/>
    <mergeCell ref="G88:H88"/>
    <mergeCell ref="I88:J88"/>
    <mergeCell ref="K88:L88"/>
    <mergeCell ref="M88:N88"/>
    <mergeCell ref="M82:N82"/>
    <mergeCell ref="O88:P88"/>
    <mergeCell ref="Q88:R88"/>
    <mergeCell ref="O86:P86"/>
    <mergeCell ref="Q86:R86"/>
    <mergeCell ref="G87:H87"/>
    <mergeCell ref="I87:J87"/>
    <mergeCell ref="K87:L87"/>
    <mergeCell ref="M87:N87"/>
    <mergeCell ref="O87:P87"/>
    <mergeCell ref="Q87:R87"/>
    <mergeCell ref="B323:C323"/>
    <mergeCell ref="L8:R8"/>
    <mergeCell ref="L9:R9"/>
    <mergeCell ref="L10:R10"/>
    <mergeCell ref="L11:R11"/>
    <mergeCell ref="L3:M3"/>
    <mergeCell ref="H5:I5"/>
    <mergeCell ref="L6:R6"/>
    <mergeCell ref="L7:R7"/>
    <mergeCell ref="B36:C36"/>
    <mergeCell ref="B43:C43"/>
    <mergeCell ref="G53:H53"/>
    <mergeCell ref="I53:J53"/>
    <mergeCell ref="K53:L53"/>
    <mergeCell ref="L12:R12"/>
    <mergeCell ref="L13:R13"/>
    <mergeCell ref="K15:K16"/>
    <mergeCell ref="L15:R16"/>
    <mergeCell ref="B34:C35"/>
    <mergeCell ref="K78:L78"/>
    <mergeCell ref="B15:F16"/>
    <mergeCell ref="C17:F17"/>
    <mergeCell ref="C18:F18"/>
    <mergeCell ref="M78:N78"/>
    <mergeCell ref="K34:K35"/>
    <mergeCell ref="L34:R35"/>
    <mergeCell ref="G56:H56"/>
    <mergeCell ref="I56:J56"/>
    <mergeCell ref="K56:L56"/>
    <mergeCell ref="M56:N56"/>
    <mergeCell ref="O56:P56"/>
    <mergeCell ref="Q56:R56"/>
    <mergeCell ref="M53:N53"/>
    <mergeCell ref="O53:P53"/>
    <mergeCell ref="Q53:R53"/>
    <mergeCell ref="G54:H54"/>
    <mergeCell ref="I54:J54"/>
    <mergeCell ref="K54:L54"/>
    <mergeCell ref="M54:N54"/>
    <mergeCell ref="O54:P54"/>
    <mergeCell ref="Q54:R54"/>
    <mergeCell ref="O46:P46"/>
    <mergeCell ref="O47:P47"/>
    <mergeCell ref="O43:P43"/>
    <mergeCell ref="O44:P44"/>
    <mergeCell ref="O45:P45"/>
    <mergeCell ref="C25:F25"/>
    <mergeCell ref="C27:F27"/>
    <mergeCell ref="C28:F28"/>
    <mergeCell ref="C29:F29"/>
    <mergeCell ref="C30:F30"/>
    <mergeCell ref="C31:F31"/>
    <mergeCell ref="C32:F32"/>
    <mergeCell ref="C33:F33"/>
    <mergeCell ref="C19:F19"/>
    <mergeCell ref="C20:F20"/>
    <mergeCell ref="C21:F21"/>
    <mergeCell ref="C22:F22"/>
    <mergeCell ref="C23:F23"/>
    <mergeCell ref="C24:F24"/>
    <mergeCell ref="J252:R252"/>
    <mergeCell ref="B225:C226"/>
    <mergeCell ref="D225:D226"/>
    <mergeCell ref="E225:E226"/>
    <mergeCell ref="F225:F226"/>
    <mergeCell ref="G225:G226"/>
    <mergeCell ref="H225:H226"/>
    <mergeCell ref="I225:I226"/>
    <mergeCell ref="J225:J226"/>
    <mergeCell ref="K225:K226"/>
    <mergeCell ref="L225:L226"/>
    <mergeCell ref="M225:M226"/>
    <mergeCell ref="N225:N226"/>
    <mergeCell ref="O225:O226"/>
    <mergeCell ref="P225:P226"/>
    <mergeCell ref="Q225:Q226"/>
    <mergeCell ref="R225:R226"/>
    <mergeCell ref="D239:I239"/>
    <mergeCell ref="C241:I241"/>
    <mergeCell ref="C246:I246"/>
    <mergeCell ref="D247:I247"/>
    <mergeCell ref="J236:K236"/>
    <mergeCell ref="L236:M236"/>
    <mergeCell ref="C233:I234"/>
    <mergeCell ref="J238:K238"/>
    <mergeCell ref="L238:M238"/>
    <mergeCell ref="N238:O238"/>
    <mergeCell ref="P238:Q238"/>
    <mergeCell ref="J239:K239"/>
    <mergeCell ref="L239:M239"/>
    <mergeCell ref="N239:O239"/>
    <mergeCell ref="P239:Q239"/>
    <mergeCell ref="J240:K240"/>
    <mergeCell ref="L240:M240"/>
    <mergeCell ref="N240:O240"/>
    <mergeCell ref="P240:Q240"/>
    <mergeCell ref="P241:Q241"/>
    <mergeCell ref="J242:K242"/>
    <mergeCell ref="J245:K245"/>
    <mergeCell ref="L245:M245"/>
    <mergeCell ref="N245:O245"/>
    <mergeCell ref="P245:Q245"/>
    <mergeCell ref="J241:K241"/>
    <mergeCell ref="N241:O241"/>
    <mergeCell ref="L241:M241"/>
    <mergeCell ref="L242:M242"/>
    <mergeCell ref="N242:O242"/>
    <mergeCell ref="P242:Q242"/>
    <mergeCell ref="J244:K244"/>
    <mergeCell ref="L244:M244"/>
    <mergeCell ref="N244:O244"/>
    <mergeCell ref="P244:Q244"/>
    <mergeCell ref="C240:I240"/>
    <mergeCell ref="C236:I236"/>
    <mergeCell ref="C238:I238"/>
    <mergeCell ref="D242:I242"/>
    <mergeCell ref="C244:I244"/>
    <mergeCell ref="D245:I245"/>
    <mergeCell ref="C151:E151"/>
    <mergeCell ref="C153:G153"/>
    <mergeCell ref="C157:G157"/>
    <mergeCell ref="C158:G158"/>
    <mergeCell ref="C173:I173"/>
    <mergeCell ref="C175:I175"/>
    <mergeCell ref="C179:I179"/>
    <mergeCell ref="C181:I181"/>
    <mergeCell ref="B228:C228"/>
    <mergeCell ref="C155:G155"/>
    <mergeCell ref="C183:I183"/>
    <mergeCell ref="G235:H235"/>
    <mergeCell ref="B213:C213"/>
    <mergeCell ref="B219:C219"/>
    <mergeCell ref="B230:C230"/>
    <mergeCell ref="B190:C192"/>
    <mergeCell ref="B206:C206"/>
    <mergeCell ref="B207:C207"/>
    <mergeCell ref="G106:H106"/>
    <mergeCell ref="B108:E109"/>
    <mergeCell ref="G111:H111"/>
    <mergeCell ref="I101:J101"/>
    <mergeCell ref="K101:L101"/>
    <mergeCell ref="M101:N101"/>
    <mergeCell ref="O101:P101"/>
    <mergeCell ref="Q101:R101"/>
    <mergeCell ref="G123:H123"/>
    <mergeCell ref="G101:H101"/>
    <mergeCell ref="I106:J106"/>
    <mergeCell ref="K106:L106"/>
    <mergeCell ref="M106:N106"/>
    <mergeCell ref="O106:P106"/>
    <mergeCell ref="Q106:R106"/>
    <mergeCell ref="G105:H105"/>
    <mergeCell ref="I105:J105"/>
    <mergeCell ref="K105:L105"/>
    <mergeCell ref="M105:N105"/>
    <mergeCell ref="O105:P105"/>
    <mergeCell ref="Q105:R105"/>
    <mergeCell ref="G104:H104"/>
    <mergeCell ref="I104:J104"/>
    <mergeCell ref="K104:L104"/>
    <mergeCell ref="P190:R191"/>
    <mergeCell ref="O78:P78"/>
    <mergeCell ref="Q78:R78"/>
    <mergeCell ref="G77:H77"/>
    <mergeCell ref="I77:J77"/>
    <mergeCell ref="K77:L77"/>
    <mergeCell ref="M77:N77"/>
    <mergeCell ref="O77:P77"/>
    <mergeCell ref="Q77:R77"/>
    <mergeCell ref="I78:J78"/>
    <mergeCell ref="M83:N83"/>
    <mergeCell ref="G86:H86"/>
    <mergeCell ref="I86:J86"/>
    <mergeCell ref="K86:L86"/>
    <mergeCell ref="M86:N86"/>
    <mergeCell ref="B81:M81"/>
    <mergeCell ref="B164:M164"/>
    <mergeCell ref="I102:J102"/>
    <mergeCell ref="K102:L102"/>
    <mergeCell ref="M102:N102"/>
    <mergeCell ref="O102:P102"/>
    <mergeCell ref="Q102:R102"/>
    <mergeCell ref="B170:H171"/>
    <mergeCell ref="G100:H100"/>
    <mergeCell ref="B250:M250"/>
    <mergeCell ref="B322:M322"/>
    <mergeCell ref="B82:J82"/>
    <mergeCell ref="B84:L84"/>
    <mergeCell ref="B167:J167"/>
    <mergeCell ref="B7:H7"/>
    <mergeCell ref="B9:H9"/>
    <mergeCell ref="B53:E55"/>
    <mergeCell ref="B221:C221"/>
    <mergeCell ref="B223:C223"/>
    <mergeCell ref="C98:J98"/>
    <mergeCell ref="G192:I192"/>
    <mergeCell ref="J192:L192"/>
    <mergeCell ref="M192:O192"/>
    <mergeCell ref="G78:H78"/>
    <mergeCell ref="G97:H97"/>
    <mergeCell ref="G110:H110"/>
    <mergeCell ref="G113:H113"/>
    <mergeCell ref="G115:H115"/>
    <mergeCell ref="G117:H117"/>
    <mergeCell ref="G119:H119"/>
    <mergeCell ref="G121:H121"/>
    <mergeCell ref="G99:H99"/>
    <mergeCell ref="G102:H102"/>
  </mergeCells>
  <phoneticPr fontId="5" type="noConversion"/>
  <conditionalFormatting sqref="J245 L245 N245 P245">
    <cfRule type="containsText" dxfId="18" priority="1" operator="containsText" text="Hyvä">
      <formula>NOT(ISERROR(SEARCH("Hyvä",J245)))</formula>
    </cfRule>
    <cfRule type="containsText" dxfId="17" priority="2" operator="containsText" text="Tyydyttävä">
      <formula>NOT(ISERROR(SEARCH("Tyydyttävä",J245)))</formula>
    </cfRule>
    <cfRule type="containsText" dxfId="16" priority="3" operator="containsText" text="Heikko">
      <formula>NOT(ISERROR(SEARCH("Heikko",J245)))</formula>
    </cfRule>
  </conditionalFormatting>
  <conditionalFormatting sqref="J247 L247 N247 P247">
    <cfRule type="containsText" dxfId="15" priority="4" operator="containsText" text="Nettovelaton">
      <formula>NOT(ISERROR(SEARCH("Nettovelaton",J247)))</formula>
    </cfRule>
    <cfRule type="containsText" dxfId="14" priority="5" operator="containsText" text="Nettovelaton">
      <formula>NOT(ISERROR(SEARCH("Nettovelaton",J247)))</formula>
    </cfRule>
    <cfRule type="containsText" dxfId="13" priority="6" operator="containsText" text="Hyvä">
      <formula>NOT(ISERROR(SEARCH("Hyvä",J247)))</formula>
    </cfRule>
    <cfRule type="containsText" dxfId="12" priority="7" operator="containsText" text="Heikko">
      <formula>NOT(ISERROR(SEARCH("Heikko",J247)))</formula>
    </cfRule>
    <cfRule type="containsText" dxfId="11" priority="8" operator="containsText" text="Hyvä">
      <formula>NOT(ISERROR(SEARCH("Hyvä",J247)))</formula>
    </cfRule>
    <cfRule type="containsText" dxfId="10" priority="9" operator="containsText" text="Tyydyttävä">
      <formula>NOT(ISERROR(SEARCH("Tyydyttävä",J247)))</formula>
    </cfRule>
    <cfRule type="containsText" dxfId="9" priority="10" operator="containsText" text="Heikko">
      <formula>NOT(ISERROR(SEARCH("Heikko",J247)))</formula>
    </cfRule>
  </conditionalFormatting>
  <conditionalFormatting sqref="J237:Q237">
    <cfRule type="containsText" dxfId="8" priority="29" operator="containsText" text="Hyvä">
      <formula>NOT(ISERROR(SEARCH("Hyvä",J237)))</formula>
    </cfRule>
    <cfRule type="containsText" dxfId="7" priority="30" operator="containsText" text="Tyydyttävä">
      <formula>NOT(ISERROR(SEARCH("Tyydyttävä",J237)))</formula>
    </cfRule>
    <cfRule type="containsText" dxfId="6" priority="31" operator="containsText" text="Heikko">
      <formula>NOT(ISERROR(SEARCH("Heikko",J237)))</formula>
    </cfRule>
  </conditionalFormatting>
  <conditionalFormatting sqref="J239:Q239">
    <cfRule type="containsText" dxfId="5" priority="26" operator="containsText" text="Hyvä">
      <formula>NOT(ISERROR(SEARCH("Hyvä",J239)))</formula>
    </cfRule>
    <cfRule type="containsText" dxfId="4" priority="27" operator="containsText" text="Tyydyttävä">
      <formula>NOT(ISERROR(SEARCH("Tyydyttävä",J239)))</formula>
    </cfRule>
    <cfRule type="containsText" dxfId="3" priority="28" operator="containsText" text="Heikko">
      <formula>NOT(ISERROR(SEARCH("Heikko",J239)))</formula>
    </cfRule>
  </conditionalFormatting>
  <conditionalFormatting sqref="J242:Q242">
    <cfRule type="containsText" dxfId="2" priority="11" operator="containsText" text="Hyvä">
      <formula>NOT(ISERROR(SEARCH("Hyvä",J242)))</formula>
    </cfRule>
    <cfRule type="containsText" dxfId="1" priority="12" operator="containsText" text="Tyydyttävä">
      <formula>NOT(ISERROR(SEARCH("Tyydyttävä",J242)))</formula>
    </cfRule>
    <cfRule type="containsText" dxfId="0" priority="13" operator="containsText" text="Heikko">
      <formula>NOT(ISERROR(SEARCH("Heikko",J242)))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4" orientation="portrait" r:id="rId1"/>
  <rowBreaks count="3" manualBreakCount="3">
    <brk id="81" min="1" max="14" man="1"/>
    <brk id="164" min="1" max="17" man="1"/>
    <brk id="250" min="1" max="17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F52"/>
  <sheetViews>
    <sheetView workbookViewId="0">
      <selection activeCell="I34" sqref="I34"/>
    </sheetView>
  </sheetViews>
  <sheetFormatPr defaultRowHeight="13.2" x14ac:dyDescent="0.25"/>
  <cols>
    <col min="2" max="2" width="25.33203125" customWidth="1"/>
  </cols>
  <sheetData>
    <row r="1" spans="2:6" x14ac:dyDescent="0.25">
      <c r="B1" s="232" t="s">
        <v>678</v>
      </c>
    </row>
    <row r="2" spans="2:6" ht="13.8" thickBot="1" x14ac:dyDescent="0.3">
      <c r="C2" s="231">
        <f>'5. T4 RAHOITUSSUUN.'!Q11</f>
        <v>2024</v>
      </c>
      <c r="D2" s="231">
        <f>'5. T4 RAHOITUSSUUN.'!R11</f>
        <v>2025</v>
      </c>
      <c r="E2" s="231">
        <f>'5. T4 RAHOITUSSUUN.'!S11</f>
        <v>2026</v>
      </c>
      <c r="F2" s="231">
        <f>'5. T4 RAHOITUSSUUN.'!T11</f>
        <v>2027</v>
      </c>
    </row>
    <row r="3" spans="2:6" x14ac:dyDescent="0.25">
      <c r="B3" s="425" t="s">
        <v>342</v>
      </c>
      <c r="C3" s="260">
        <f>'5. T4 RAHOITUSSUUN.'!Q13/1000</f>
        <v>0</v>
      </c>
      <c r="D3" s="260">
        <f>'5. T4 RAHOITUSSUUN.'!R13/1000</f>
        <v>0</v>
      </c>
      <c r="E3" s="260">
        <f>'5. T4 RAHOITUSSUUN.'!S13/1000</f>
        <v>0</v>
      </c>
      <c r="F3" s="260">
        <f>'5. T4 RAHOITUSSUUN.'!T13/1000</f>
        <v>0</v>
      </c>
    </row>
    <row r="4" spans="2:6" x14ac:dyDescent="0.25">
      <c r="B4" s="527" t="s">
        <v>679</v>
      </c>
      <c r="C4" s="260">
        <f>'6. T3 TASE'!G98/1000</f>
        <v>0</v>
      </c>
      <c r="D4" s="260">
        <f>'6. T3 TASE'!H98/1000</f>
        <v>0</v>
      </c>
      <c r="E4" s="260">
        <f>'6. T3 TASE'!I98/1000</f>
        <v>0</v>
      </c>
      <c r="F4" s="260">
        <f>'6. T3 TASE'!J98/1000</f>
        <v>0</v>
      </c>
    </row>
    <row r="5" spans="2:6" x14ac:dyDescent="0.25">
      <c r="B5" s="426" t="s">
        <v>348</v>
      </c>
      <c r="C5" s="260">
        <f>'5. T4 RAHOITUSSUUN.'!Q16/1000</f>
        <v>0</v>
      </c>
      <c r="D5" s="260">
        <f>'5. T4 RAHOITUSSUUN.'!R16/1000</f>
        <v>0</v>
      </c>
      <c r="E5" s="260">
        <f>'5. T4 RAHOITUSSUUN.'!S16/1000</f>
        <v>0</v>
      </c>
      <c r="F5" s="260">
        <f>'5. T4 RAHOITUSSUUN.'!T16/1000</f>
        <v>0</v>
      </c>
    </row>
    <row r="25" spans="2:6" x14ac:dyDescent="0.25">
      <c r="B25" s="135" t="s">
        <v>680</v>
      </c>
    </row>
    <row r="26" spans="2:6" x14ac:dyDescent="0.25">
      <c r="C26" s="15">
        <f>C2</f>
        <v>2024</v>
      </c>
      <c r="D26" s="15">
        <f>D2</f>
        <v>2025</v>
      </c>
      <c r="E26" s="15">
        <f>E2</f>
        <v>2026</v>
      </c>
      <c r="F26" s="15">
        <f>F2</f>
        <v>2027</v>
      </c>
    </row>
    <row r="27" spans="2:6" x14ac:dyDescent="0.25">
      <c r="B27" s="424" t="s">
        <v>354</v>
      </c>
      <c r="C27" s="1218">
        <f>'5. T4 RAHOITUSSUUN.'!Q19</f>
        <v>0</v>
      </c>
      <c r="D27" s="1218">
        <f>'5. T4 RAHOITUSSUUN.'!R19</f>
        <v>0</v>
      </c>
      <c r="E27" s="1218">
        <f>'5. T4 RAHOITUSSUUN.'!S19</f>
        <v>0</v>
      </c>
      <c r="F27" s="1218">
        <f>'5. T4 RAHOITUSSUUN.'!T19</f>
        <v>0</v>
      </c>
    </row>
    <row r="28" spans="2:6" x14ac:dyDescent="0.25">
      <c r="B28" s="424" t="s">
        <v>362</v>
      </c>
      <c r="C28" s="1219">
        <f>'5. T4 RAHOITUSSUUN.'!Q24</f>
        <v>0</v>
      </c>
      <c r="D28" s="1219">
        <f>'5. T4 RAHOITUSSUUN.'!R24</f>
        <v>0</v>
      </c>
      <c r="E28" s="1219">
        <f>'5. T4 RAHOITUSSUUN.'!S24</f>
        <v>0</v>
      </c>
      <c r="F28" s="1219">
        <f>'5. T4 RAHOITUSSUUN.'!T24</f>
        <v>0</v>
      </c>
    </row>
    <row r="29" spans="2:6" x14ac:dyDescent="0.25">
      <c r="B29" s="426" t="s">
        <v>681</v>
      </c>
      <c r="C29" s="1219">
        <f>'5. T4 RAHOITUSSUUN.'!Q25</f>
        <v>0</v>
      </c>
      <c r="D29" s="1219">
        <f>'5. T4 RAHOITUSSUUN.'!R25</f>
        <v>0</v>
      </c>
      <c r="E29" s="1219">
        <f>'5. T4 RAHOITUSSUUN.'!S25</f>
        <v>0</v>
      </c>
      <c r="F29" s="1219">
        <f>'5. T4 RAHOITUSSUUN.'!T25</f>
        <v>0</v>
      </c>
    </row>
    <row r="30" spans="2:6" x14ac:dyDescent="0.25">
      <c r="B30" s="535" t="s">
        <v>682</v>
      </c>
      <c r="C30" s="164">
        <f>'5. T4 RAHOITUSSUUN.'!Q21</f>
        <v>0</v>
      </c>
      <c r="D30" s="164">
        <f>'5. T4 RAHOITUSSUUN.'!R21</f>
        <v>0</v>
      </c>
      <c r="E30" s="164">
        <f>'5. T4 RAHOITUSSUUN.'!S21</f>
        <v>0</v>
      </c>
      <c r="F30" s="164">
        <f>'5. T4 RAHOITUSSUUN.'!T21</f>
        <v>0</v>
      </c>
    </row>
    <row r="48" spans="2:2" x14ac:dyDescent="0.25">
      <c r="B48" s="312" t="s">
        <v>683</v>
      </c>
    </row>
    <row r="49" spans="2:6" x14ac:dyDescent="0.25">
      <c r="C49" s="438">
        <f>C2</f>
        <v>2024</v>
      </c>
      <c r="D49" s="438">
        <f t="shared" ref="D49:F49" si="0">D2</f>
        <v>2025</v>
      </c>
      <c r="E49" s="438">
        <f t="shared" si="0"/>
        <v>2026</v>
      </c>
      <c r="F49" s="438">
        <f t="shared" si="0"/>
        <v>2027</v>
      </c>
    </row>
    <row r="50" spans="2:6" x14ac:dyDescent="0.25">
      <c r="B50" s="425" t="s">
        <v>399</v>
      </c>
      <c r="C50" s="260">
        <f>'5. T4 RAHOITUSSUUN.'!Q43/1000</f>
        <v>0</v>
      </c>
      <c r="D50" s="260">
        <f>'5. T4 RAHOITUSSUUN.'!R43/1000</f>
        <v>0</v>
      </c>
      <c r="E50" s="260">
        <f>'5. T4 RAHOITUSSUUN.'!S43/1000</f>
        <v>0</v>
      </c>
      <c r="F50" s="260">
        <f>'5. T4 RAHOITUSSUUN.'!T43/1000</f>
        <v>0</v>
      </c>
    </row>
    <row r="51" spans="2:6" x14ac:dyDescent="0.25">
      <c r="B51" s="424" t="s">
        <v>684</v>
      </c>
      <c r="C51" s="260">
        <f>-'5. T4 RAHOITUSSUUN.'!Q44/1000</f>
        <v>0</v>
      </c>
      <c r="D51" s="260">
        <f>-'5. T4 RAHOITUSSUUN.'!R44/1000</f>
        <v>0</v>
      </c>
      <c r="E51" s="260">
        <f>-'5. T4 RAHOITUSSUUN.'!S44/1000</f>
        <v>0</v>
      </c>
      <c r="F51" s="260">
        <f>-'5. T4 RAHOITUSSUUN.'!T44/1000</f>
        <v>0</v>
      </c>
    </row>
    <row r="52" spans="2:6" x14ac:dyDescent="0.25">
      <c r="B52" s="424" t="s">
        <v>406</v>
      </c>
      <c r="C52" s="1596">
        <f>'5. T4 RAHOITUSSUUN.'!Q47/1000</f>
        <v>0</v>
      </c>
      <c r="D52" s="1596">
        <f>'5. T4 RAHOITUSSUUN.'!R47/1000</f>
        <v>0</v>
      </c>
      <c r="E52" s="1596">
        <f>'5. T4 RAHOITUSSUUN.'!S47/1000</f>
        <v>0</v>
      </c>
      <c r="F52" s="1596">
        <f>'5. T4 RAHOITUSSUUN.'!T47/1000</f>
        <v>0</v>
      </c>
    </row>
  </sheetData>
  <sheetProtection algorithmName="SHA-512" hashValue="Iv7peTGYZQUIVLJ8ugal60vjalOhNIAuq7ZvoFPJvm1k0D3JWGYukJD/EK2lkCnOj49JlL34+0McGK6hDU800A==" saltValue="GM/+HqHIHor4ebscmN2tJQ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52A1"/>
  </sheetPr>
  <dimension ref="A1:U101"/>
  <sheetViews>
    <sheetView showGridLines="0" showZeros="0" defaultGridColor="0" colorId="55" zoomScaleNormal="100" workbookViewId="0">
      <selection activeCell="B7" sqref="B7:E7"/>
    </sheetView>
  </sheetViews>
  <sheetFormatPr defaultRowHeight="13.2" x14ac:dyDescent="0.25"/>
  <cols>
    <col min="1" max="1" width="10.5546875" customWidth="1"/>
    <col min="2" max="2" width="3.33203125" style="32" customWidth="1"/>
    <col min="3" max="3" width="32" customWidth="1"/>
    <col min="4" max="4" width="14.33203125" customWidth="1"/>
    <col min="5" max="9" width="11" customWidth="1"/>
    <col min="10" max="10" width="5.109375" customWidth="1"/>
    <col min="11" max="11" width="10.6640625" style="32" customWidth="1"/>
    <col min="12" max="20" width="10.6640625" customWidth="1"/>
  </cols>
  <sheetData>
    <row r="1" spans="1:19" ht="13.8" x14ac:dyDescent="0.25">
      <c r="B1" s="70" t="s">
        <v>3</v>
      </c>
      <c r="J1" s="49"/>
    </row>
    <row r="3" spans="1:19" ht="14.25" customHeight="1" x14ac:dyDescent="0.3">
      <c r="B3" s="1922" t="s">
        <v>7</v>
      </c>
      <c r="C3" s="1922"/>
      <c r="D3" s="1922"/>
      <c r="F3" s="34" t="s">
        <v>8</v>
      </c>
      <c r="O3" s="19" t="s">
        <v>9</v>
      </c>
    </row>
    <row r="4" spans="1:19" ht="14.25" customHeight="1" x14ac:dyDescent="0.25">
      <c r="B4" s="1922"/>
      <c r="C4" s="1922"/>
      <c r="D4" s="1922"/>
      <c r="F4" s="605"/>
      <c r="G4" s="604"/>
      <c r="H4" s="68"/>
      <c r="O4" s="1925"/>
      <c r="P4" s="1925"/>
      <c r="Q4" s="1752"/>
    </row>
    <row r="5" spans="1:19" ht="7.5" customHeight="1" thickBot="1" x14ac:dyDescent="0.35">
      <c r="F5" s="1928"/>
      <c r="G5" s="1929"/>
      <c r="H5" s="32"/>
      <c r="I5" s="19"/>
    </row>
    <row r="6" spans="1:19" x14ac:dyDescent="0.25">
      <c r="B6" s="65" t="s">
        <v>10</v>
      </c>
      <c r="C6" s="61"/>
      <c r="D6" s="61"/>
      <c r="E6" s="62"/>
      <c r="F6" s="212" t="s">
        <v>11</v>
      </c>
      <c r="G6" s="208"/>
      <c r="H6" s="212"/>
      <c r="I6" s="209"/>
      <c r="J6" s="53"/>
      <c r="K6" s="1680" t="s">
        <v>12</v>
      </c>
      <c r="L6" s="71"/>
      <c r="M6" s="71"/>
      <c r="N6" s="71"/>
      <c r="O6" s="71"/>
      <c r="P6" s="71"/>
      <c r="Q6" s="71"/>
      <c r="R6" s="71"/>
      <c r="S6" s="338"/>
    </row>
    <row r="7" spans="1:19" s="41" customFormat="1" ht="14.25" customHeight="1" x14ac:dyDescent="0.25">
      <c r="B7" s="1912"/>
      <c r="C7" s="1913"/>
      <c r="D7" s="1913"/>
      <c r="E7" s="1914"/>
      <c r="F7" s="1932">
        <v>0</v>
      </c>
      <c r="G7" s="1932"/>
      <c r="H7" s="1933"/>
      <c r="I7" s="1934"/>
      <c r="K7" s="332"/>
      <c r="L7" s="262"/>
      <c r="M7" s="262"/>
      <c r="N7" s="262"/>
      <c r="O7" s="262"/>
      <c r="P7" s="262"/>
      <c r="Q7" s="262"/>
      <c r="R7" s="262"/>
      <c r="S7" s="304"/>
    </row>
    <row r="8" spans="1:19" x14ac:dyDescent="0.25">
      <c r="B8" s="64" t="s">
        <v>13</v>
      </c>
      <c r="C8" s="51"/>
      <c r="D8" s="51"/>
      <c r="E8" s="51"/>
      <c r="F8" s="210" t="s">
        <v>14</v>
      </c>
      <c r="G8" s="213"/>
      <c r="H8" s="213"/>
      <c r="I8" s="211"/>
      <c r="J8" s="54"/>
      <c r="K8" s="393"/>
      <c r="L8" s="262"/>
      <c r="M8" s="262"/>
      <c r="N8" s="262"/>
      <c r="O8" s="262"/>
      <c r="P8" s="262"/>
      <c r="Q8" s="262"/>
      <c r="R8" s="262"/>
      <c r="S8" s="304"/>
    </row>
    <row r="9" spans="1:19" s="41" customFormat="1" ht="14.25" customHeight="1" x14ac:dyDescent="0.25">
      <c r="B9" s="1912"/>
      <c r="C9" s="1913"/>
      <c r="D9" s="1913"/>
      <c r="E9" s="1914"/>
      <c r="F9" s="1935"/>
      <c r="G9" s="1935"/>
      <c r="H9" s="1935"/>
      <c r="I9" s="1936"/>
      <c r="J9" s="59"/>
      <c r="K9" s="394"/>
      <c r="L9" s="262"/>
      <c r="M9" s="262"/>
      <c r="N9" s="262"/>
      <c r="O9" s="262"/>
      <c r="P9" s="262"/>
      <c r="Q9" s="262"/>
      <c r="R9" s="262"/>
      <c r="S9" s="304"/>
    </row>
    <row r="10" spans="1:19" s="2" customFormat="1" x14ac:dyDescent="0.25">
      <c r="A10"/>
      <c r="B10" s="64" t="s">
        <v>15</v>
      </c>
      <c r="C10" s="51"/>
      <c r="D10" s="51"/>
      <c r="E10" s="52"/>
      <c r="F10" s="1930" t="s">
        <v>16</v>
      </c>
      <c r="G10" s="1930"/>
      <c r="H10" s="1930"/>
      <c r="I10" s="1931"/>
      <c r="K10" s="394"/>
      <c r="L10" s="395"/>
      <c r="M10" s="395"/>
      <c r="N10" s="395"/>
      <c r="O10" s="395"/>
      <c r="P10" s="395"/>
      <c r="Q10" s="395"/>
      <c r="R10" s="395"/>
      <c r="S10" s="396"/>
    </row>
    <row r="11" spans="1:19" s="41" customFormat="1" ht="14.25" customHeight="1" x14ac:dyDescent="0.25">
      <c r="B11" s="1937"/>
      <c r="C11" s="1938"/>
      <c r="D11" s="1938"/>
      <c r="E11" s="1939"/>
      <c r="F11" s="1935"/>
      <c r="G11" s="1935"/>
      <c r="H11" s="1935"/>
      <c r="I11" s="1936"/>
      <c r="J11" s="60"/>
      <c r="K11" s="394"/>
      <c r="L11" s="262"/>
      <c r="M11" s="262"/>
      <c r="N11" s="262"/>
      <c r="O11" s="262"/>
      <c r="P11" s="262"/>
      <c r="Q11" s="262"/>
      <c r="R11" s="262"/>
      <c r="S11" s="304"/>
    </row>
    <row r="12" spans="1:19" ht="14.25" customHeight="1" x14ac:dyDescent="0.25">
      <c r="B12" s="1937"/>
      <c r="C12" s="1938"/>
      <c r="D12" s="1938"/>
      <c r="E12" s="1939"/>
      <c r="F12" s="1930" t="s">
        <v>17</v>
      </c>
      <c r="G12" s="1930"/>
      <c r="H12" s="1930"/>
      <c r="I12" s="1931"/>
      <c r="K12" s="332"/>
      <c r="L12" s="262"/>
      <c r="M12" s="262"/>
      <c r="N12" s="262"/>
      <c r="O12" s="262"/>
      <c r="P12" s="262"/>
      <c r="Q12" s="262"/>
      <c r="R12" s="262"/>
      <c r="S12" s="304"/>
    </row>
    <row r="13" spans="1:19" ht="14.25" customHeight="1" thickBot="1" x14ac:dyDescent="0.35">
      <c r="A13" s="41"/>
      <c r="B13" s="1940"/>
      <c r="C13" s="1941"/>
      <c r="D13" s="1941"/>
      <c r="E13" s="1942"/>
      <c r="F13" s="1923"/>
      <c r="G13" s="1923"/>
      <c r="H13" s="1923"/>
      <c r="I13" s="1924"/>
      <c r="J13" s="55"/>
      <c r="K13" s="332"/>
      <c r="L13" s="262"/>
      <c r="M13" s="262"/>
      <c r="N13" s="262"/>
      <c r="O13" s="262"/>
      <c r="P13" s="262"/>
      <c r="Q13" s="262"/>
      <c r="R13" s="262"/>
      <c r="S13" s="304"/>
    </row>
    <row r="14" spans="1:19" ht="3" customHeight="1" thickBot="1" x14ac:dyDescent="0.3">
      <c r="A14" s="2"/>
      <c r="K14" s="302"/>
      <c r="L14" s="136"/>
      <c r="M14" s="136"/>
      <c r="N14" s="136"/>
      <c r="O14" s="136"/>
      <c r="P14" s="136"/>
      <c r="Q14" s="136"/>
      <c r="R14" s="136"/>
      <c r="S14" s="303"/>
    </row>
    <row r="15" spans="1:19" ht="13.5" customHeight="1" x14ac:dyDescent="0.25">
      <c r="A15" s="41"/>
      <c r="B15" s="1915" t="s">
        <v>18</v>
      </c>
      <c r="C15" s="1916"/>
      <c r="D15" s="1302"/>
      <c r="E15" s="1304" t="s">
        <v>19</v>
      </c>
      <c r="F15" s="1304" t="s">
        <v>20</v>
      </c>
      <c r="G15" s="1304" t="s">
        <v>21</v>
      </c>
      <c r="H15" s="1305" t="s">
        <v>22</v>
      </c>
      <c r="I15" s="1926" t="s">
        <v>23</v>
      </c>
      <c r="J15" s="50"/>
      <c r="K15" s="397"/>
      <c r="L15" s="395"/>
      <c r="M15" s="262"/>
      <c r="N15" s="262"/>
      <c r="O15" s="262"/>
      <c r="P15" s="262"/>
      <c r="Q15" s="262"/>
      <c r="R15" s="262"/>
      <c r="S15" s="304"/>
    </row>
    <row r="16" spans="1:19" ht="13.5" customHeight="1" thickBot="1" x14ac:dyDescent="0.3">
      <c r="B16" s="1917"/>
      <c r="C16" s="1918"/>
      <c r="D16" s="1303"/>
      <c r="E16" s="463">
        <v>2024</v>
      </c>
      <c r="F16" s="801">
        <f>E16+1</f>
        <v>2025</v>
      </c>
      <c r="G16" s="801">
        <f>F16+1</f>
        <v>2026</v>
      </c>
      <c r="H16" s="801">
        <f>G16+1</f>
        <v>2027</v>
      </c>
      <c r="I16" s="1927"/>
      <c r="J16" s="50"/>
      <c r="K16" s="397"/>
      <c r="L16" s="395"/>
      <c r="M16" s="262"/>
      <c r="N16" s="262"/>
      <c r="O16" s="262"/>
      <c r="P16" s="262"/>
      <c r="Q16" s="262"/>
      <c r="R16" s="262"/>
      <c r="S16" s="304"/>
    </row>
    <row r="17" spans="1:19" ht="12.75" customHeight="1" x14ac:dyDescent="0.25">
      <c r="A17" s="41"/>
      <c r="B17" s="323" t="s">
        <v>24</v>
      </c>
      <c r="C17" s="324" t="s">
        <v>25</v>
      </c>
      <c r="D17" s="528"/>
      <c r="E17" s="609">
        <v>0</v>
      </c>
      <c r="F17" s="609">
        <v>0</v>
      </c>
      <c r="G17" s="609">
        <v>0</v>
      </c>
      <c r="H17" s="609">
        <v>0</v>
      </c>
      <c r="I17" s="611">
        <f>SUM(D17:H17)</f>
        <v>0</v>
      </c>
      <c r="J17" s="56"/>
      <c r="K17" s="332" t="s">
        <v>3</v>
      </c>
      <c r="L17" s="262"/>
      <c r="M17" s="262"/>
      <c r="N17" s="262"/>
      <c r="O17" s="262"/>
      <c r="P17" s="262"/>
      <c r="Q17" s="262"/>
      <c r="R17" s="262"/>
      <c r="S17" s="304"/>
    </row>
    <row r="18" spans="1:19" s="4" customFormat="1" ht="12.75" customHeight="1" x14ac:dyDescent="0.25">
      <c r="A18" s="2"/>
      <c r="B18" s="152"/>
      <c r="C18" s="913" t="s">
        <v>26</v>
      </c>
      <c r="D18" s="529"/>
      <c r="E18" s="609" t="s">
        <v>3</v>
      </c>
      <c r="F18" s="609"/>
      <c r="G18" s="609" t="s">
        <v>3</v>
      </c>
      <c r="H18" s="609"/>
      <c r="I18" s="646"/>
      <c r="J18" s="154"/>
      <c r="K18" s="332"/>
      <c r="L18" s="262"/>
      <c r="M18" s="262"/>
      <c r="N18" s="262"/>
      <c r="O18" s="262"/>
      <c r="P18" s="262"/>
      <c r="Q18" s="262"/>
      <c r="R18" s="262"/>
      <c r="S18" s="304"/>
    </row>
    <row r="19" spans="1:19" s="4" customFormat="1" ht="12.75" customHeight="1" x14ac:dyDescent="0.2">
      <c r="A19" s="41"/>
      <c r="B19" s="152"/>
      <c r="C19" s="153" t="s">
        <v>27</v>
      </c>
      <c r="D19" s="530"/>
      <c r="E19" s="331">
        <v>0</v>
      </c>
      <c r="F19" s="331">
        <v>0</v>
      </c>
      <c r="G19" s="331">
        <v>0</v>
      </c>
      <c r="H19" s="331">
        <v>0</v>
      </c>
      <c r="I19" s="646"/>
      <c r="J19" s="154"/>
      <c r="K19" s="332"/>
      <c r="L19" s="262"/>
      <c r="M19" s="262"/>
      <c r="N19" s="262"/>
      <c r="O19" s="262"/>
      <c r="P19" s="262"/>
      <c r="Q19" s="262"/>
      <c r="R19" s="262"/>
      <c r="S19" s="304"/>
    </row>
    <row r="20" spans="1:19" ht="12.75" customHeight="1" x14ac:dyDescent="0.25">
      <c r="B20" s="152" t="s">
        <v>28</v>
      </c>
      <c r="C20" s="1919" t="s">
        <v>29</v>
      </c>
      <c r="D20" s="1920"/>
      <c r="E20" s="609">
        <v>0</v>
      </c>
      <c r="F20" s="609">
        <v>0</v>
      </c>
      <c r="G20" s="609">
        <v>0</v>
      </c>
      <c r="H20" s="609">
        <v>0</v>
      </c>
      <c r="I20" s="611">
        <f>SUM(D20:H20)</f>
        <v>0</v>
      </c>
      <c r="J20" s="57"/>
      <c r="K20" s="332"/>
      <c r="L20" s="386"/>
      <c r="M20" s="262"/>
      <c r="N20" s="262"/>
      <c r="O20" s="262"/>
      <c r="P20" s="262"/>
      <c r="Q20" s="262"/>
      <c r="R20" s="262"/>
      <c r="S20" s="304"/>
    </row>
    <row r="21" spans="1:19" s="4" customFormat="1" ht="12.75" customHeight="1" x14ac:dyDescent="0.2">
      <c r="A21" s="41"/>
      <c r="B21" s="152"/>
      <c r="C21" s="153" t="s">
        <v>30</v>
      </c>
      <c r="D21" s="532"/>
      <c r="E21" s="1671">
        <v>0</v>
      </c>
      <c r="F21" s="551">
        <v>0</v>
      </c>
      <c r="G21" s="551">
        <v>0</v>
      </c>
      <c r="H21" s="551">
        <v>0</v>
      </c>
      <c r="I21" s="646"/>
      <c r="J21" s="157"/>
      <c r="K21" s="332"/>
      <c r="L21" s="386"/>
      <c r="M21" s="262"/>
      <c r="N21" s="262"/>
      <c r="O21" s="262"/>
      <c r="P21" s="262"/>
      <c r="Q21" s="262"/>
      <c r="R21" s="262"/>
      <c r="S21" s="304"/>
    </row>
    <row r="22" spans="1:19" s="4" customFormat="1" ht="12.75" customHeight="1" x14ac:dyDescent="0.25">
      <c r="A22"/>
      <c r="B22" s="152"/>
      <c r="C22" s="153" t="s">
        <v>31</v>
      </c>
      <c r="D22" s="530"/>
      <c r="E22" s="331">
        <v>0.24</v>
      </c>
      <c r="F22" s="331">
        <v>0.24</v>
      </c>
      <c r="G22" s="331">
        <v>0.24</v>
      </c>
      <c r="H22" s="331">
        <v>0.24</v>
      </c>
      <c r="I22" s="646"/>
      <c r="J22" s="157"/>
      <c r="K22" s="332"/>
      <c r="L22" s="386"/>
      <c r="M22" s="262"/>
      <c r="N22" s="262"/>
      <c r="O22" s="262"/>
      <c r="P22" s="262"/>
      <c r="Q22" s="262"/>
      <c r="R22" s="262"/>
      <c r="S22" s="304"/>
    </row>
    <row r="23" spans="1:19" s="4" customFormat="1" ht="12.75" customHeight="1" x14ac:dyDescent="0.2">
      <c r="A23" s="41"/>
      <c r="B23" s="152"/>
      <c r="C23" s="153" t="s">
        <v>27</v>
      </c>
      <c r="D23" s="530"/>
      <c r="E23" s="331">
        <v>0</v>
      </c>
      <c r="F23" s="331">
        <v>0</v>
      </c>
      <c r="G23" s="331">
        <v>0</v>
      </c>
      <c r="H23" s="331">
        <v>0</v>
      </c>
      <c r="I23" s="646"/>
      <c r="J23" s="157"/>
      <c r="K23" s="332"/>
      <c r="L23" s="386"/>
      <c r="M23" s="262"/>
      <c r="N23" s="262"/>
      <c r="O23" s="262"/>
      <c r="P23" s="262"/>
      <c r="Q23" s="262"/>
      <c r="R23" s="262"/>
      <c r="S23" s="304"/>
    </row>
    <row r="24" spans="1:19" ht="12.75" customHeight="1" x14ac:dyDescent="0.25">
      <c r="A24" s="2"/>
      <c r="B24" s="152" t="s">
        <v>32</v>
      </c>
      <c r="C24" s="1919" t="s">
        <v>33</v>
      </c>
      <c r="D24" s="1920"/>
      <c r="E24" s="609">
        <v>0</v>
      </c>
      <c r="F24" s="609">
        <v>0</v>
      </c>
      <c r="G24" s="609">
        <v>0</v>
      </c>
      <c r="H24" s="609">
        <v>0</v>
      </c>
      <c r="I24" s="611">
        <f>SUM(D24:H24)</f>
        <v>0</v>
      </c>
      <c r="J24" s="57"/>
      <c r="K24" s="332"/>
      <c r="L24" s="386"/>
      <c r="M24" s="262"/>
      <c r="N24" s="262"/>
      <c r="O24" s="262"/>
      <c r="P24" s="262"/>
      <c r="Q24" s="262"/>
      <c r="R24" s="262"/>
      <c r="S24" s="304"/>
    </row>
    <row r="25" spans="1:19" s="4" customFormat="1" ht="12.75" customHeight="1" x14ac:dyDescent="0.25">
      <c r="A25"/>
      <c r="B25" s="152"/>
      <c r="C25" s="913" t="s">
        <v>30</v>
      </c>
      <c r="D25" s="532"/>
      <c r="E25" s="551" t="s">
        <v>3</v>
      </c>
      <c r="F25" s="551">
        <v>0</v>
      </c>
      <c r="G25" s="551" t="s">
        <v>3</v>
      </c>
      <c r="H25" s="551">
        <v>0</v>
      </c>
      <c r="I25" s="646"/>
      <c r="J25" s="157"/>
      <c r="K25" s="332"/>
      <c r="L25" s="386"/>
      <c r="M25" s="262"/>
      <c r="N25" s="262"/>
      <c r="O25" s="262"/>
      <c r="P25" s="262"/>
      <c r="Q25" s="262"/>
      <c r="R25" s="262"/>
      <c r="S25" s="304"/>
    </row>
    <row r="26" spans="1:19" s="4" customFormat="1" ht="12.75" customHeight="1" x14ac:dyDescent="0.25">
      <c r="A26"/>
      <c r="B26" s="152"/>
      <c r="C26" s="153" t="s">
        <v>27</v>
      </c>
      <c r="D26" s="530"/>
      <c r="E26" s="331">
        <v>0</v>
      </c>
      <c r="F26" s="331">
        <v>0</v>
      </c>
      <c r="G26" s="331">
        <v>0</v>
      </c>
      <c r="H26" s="331">
        <v>0</v>
      </c>
      <c r="I26" s="646"/>
      <c r="J26" s="157"/>
      <c r="K26" s="332"/>
      <c r="L26" s="386"/>
      <c r="M26" s="262"/>
      <c r="N26" s="262"/>
      <c r="O26" s="262"/>
      <c r="P26" s="262"/>
      <c r="Q26" s="262"/>
      <c r="R26" s="262"/>
      <c r="S26" s="304"/>
    </row>
    <row r="27" spans="1:19" ht="12.75" customHeight="1" x14ac:dyDescent="0.25">
      <c r="B27" s="152" t="s">
        <v>34</v>
      </c>
      <c r="C27" s="1919" t="s">
        <v>35</v>
      </c>
      <c r="D27" s="1920"/>
      <c r="E27" s="609">
        <v>0</v>
      </c>
      <c r="F27" s="609">
        <v>0</v>
      </c>
      <c r="G27" s="609">
        <v>0</v>
      </c>
      <c r="H27" s="609">
        <v>0</v>
      </c>
      <c r="I27" s="611">
        <f>SUM(D27:H27)</f>
        <v>0</v>
      </c>
      <c r="J27" s="57"/>
      <c r="K27" s="332"/>
      <c r="L27" s="386"/>
      <c r="M27" s="262"/>
      <c r="N27" s="262"/>
      <c r="O27" s="262"/>
      <c r="P27" s="262"/>
      <c r="Q27" s="262"/>
      <c r="R27" s="262"/>
      <c r="S27" s="304"/>
    </row>
    <row r="28" spans="1:19" s="4" customFormat="1" ht="12.75" customHeight="1" x14ac:dyDescent="0.25">
      <c r="A28"/>
      <c r="B28" s="152"/>
      <c r="C28" s="153" t="s">
        <v>31</v>
      </c>
      <c r="D28" s="530"/>
      <c r="E28" s="331">
        <v>0.24</v>
      </c>
      <c r="F28" s="331">
        <v>0.24</v>
      </c>
      <c r="G28" s="331">
        <v>0.24</v>
      </c>
      <c r="H28" s="331">
        <v>0.24</v>
      </c>
      <c r="I28" s="646"/>
      <c r="J28" s="157"/>
      <c r="K28" s="332"/>
      <c r="L28" s="386"/>
      <c r="M28" s="262"/>
      <c r="N28" s="262"/>
      <c r="O28" s="262"/>
      <c r="P28" s="262"/>
      <c r="Q28" s="262"/>
      <c r="R28" s="262"/>
      <c r="S28" s="304"/>
    </row>
    <row r="29" spans="1:19" s="4" customFormat="1" ht="12.75" customHeight="1" x14ac:dyDescent="0.25">
      <c r="A29"/>
      <c r="B29" s="152"/>
      <c r="C29" s="153" t="s">
        <v>27</v>
      </c>
      <c r="D29" s="530"/>
      <c r="E29" s="331">
        <v>0</v>
      </c>
      <c r="F29" s="331">
        <v>0</v>
      </c>
      <c r="G29" s="331">
        <v>0</v>
      </c>
      <c r="H29" s="331">
        <v>0</v>
      </c>
      <c r="I29" s="646"/>
      <c r="J29" s="157"/>
      <c r="K29" s="332"/>
      <c r="L29" s="386"/>
      <c r="M29" s="262"/>
      <c r="N29" s="506"/>
      <c r="O29" s="262"/>
      <c r="P29" s="262"/>
      <c r="Q29" s="262"/>
      <c r="R29" s="262"/>
      <c r="S29" s="304"/>
    </row>
    <row r="30" spans="1:19" ht="12.75" customHeight="1" x14ac:dyDescent="0.25">
      <c r="B30" s="152" t="s">
        <v>36</v>
      </c>
      <c r="C30" s="1919" t="s">
        <v>37</v>
      </c>
      <c r="D30" s="1920"/>
      <c r="E30" s="609">
        <v>0</v>
      </c>
      <c r="F30" s="609">
        <v>0</v>
      </c>
      <c r="G30" s="609">
        <v>0</v>
      </c>
      <c r="H30" s="609">
        <v>0</v>
      </c>
      <c r="I30" s="611">
        <f>SUM(D30:H30)</f>
        <v>0</v>
      </c>
      <c r="J30" s="57"/>
      <c r="K30" s="332"/>
      <c r="L30" s="386"/>
      <c r="M30" s="262"/>
      <c r="N30" s="262"/>
      <c r="O30" s="262"/>
      <c r="P30" s="262"/>
      <c r="Q30" s="262"/>
      <c r="R30" s="262"/>
      <c r="S30" s="304"/>
    </row>
    <row r="31" spans="1:19" s="4" customFormat="1" ht="12.75" customHeight="1" x14ac:dyDescent="0.25">
      <c r="A31"/>
      <c r="B31" s="152"/>
      <c r="C31" s="153" t="s">
        <v>27</v>
      </c>
      <c r="D31" s="530"/>
      <c r="E31" s="331">
        <v>0</v>
      </c>
      <c r="F31" s="331">
        <v>0</v>
      </c>
      <c r="G31" s="331">
        <v>0</v>
      </c>
      <c r="H31" s="331">
        <v>0</v>
      </c>
      <c r="I31" s="646"/>
      <c r="J31" s="157"/>
      <c r="K31" s="332"/>
      <c r="L31" s="386"/>
      <c r="M31" s="262"/>
      <c r="N31" s="262"/>
      <c r="O31" s="262"/>
      <c r="P31" s="262"/>
      <c r="Q31" s="262"/>
      <c r="R31" s="262"/>
      <c r="S31" s="304"/>
    </row>
    <row r="32" spans="1:19" ht="12.75" customHeight="1" x14ac:dyDescent="0.25">
      <c r="B32" s="152" t="s">
        <v>38</v>
      </c>
      <c r="C32" s="1919" t="s">
        <v>39</v>
      </c>
      <c r="D32" s="1920"/>
      <c r="E32" s="609">
        <v>0</v>
      </c>
      <c r="F32" s="609">
        <v>0</v>
      </c>
      <c r="G32" s="609">
        <v>0</v>
      </c>
      <c r="H32" s="609">
        <v>0</v>
      </c>
      <c r="I32" s="611">
        <f>SUM(D32:H32)</f>
        <v>0</v>
      </c>
      <c r="J32" s="57"/>
      <c r="K32" s="332"/>
      <c r="L32" s="386"/>
      <c r="M32" s="262"/>
      <c r="N32" s="262"/>
      <c r="O32" s="262"/>
      <c r="P32" s="262"/>
      <c r="Q32" s="262"/>
      <c r="R32" s="262"/>
      <c r="S32" s="304"/>
    </row>
    <row r="33" spans="1:19" s="4" customFormat="1" ht="12.75" customHeight="1" x14ac:dyDescent="0.25">
      <c r="A33"/>
      <c r="B33" s="152"/>
      <c r="C33" s="153" t="s">
        <v>31</v>
      </c>
      <c r="D33" s="530"/>
      <c r="E33" s="331">
        <v>0.24</v>
      </c>
      <c r="F33" s="331">
        <v>0.24</v>
      </c>
      <c r="G33" s="331">
        <v>0.24</v>
      </c>
      <c r="H33" s="331">
        <v>0.24</v>
      </c>
      <c r="I33" s="646"/>
      <c r="J33" s="157"/>
      <c r="K33" s="332"/>
      <c r="L33" s="386">
        <v>0</v>
      </c>
      <c r="M33" s="262"/>
      <c r="N33" s="262"/>
      <c r="O33" s="262"/>
      <c r="P33" s="262"/>
      <c r="Q33" s="262"/>
      <c r="R33" s="262"/>
      <c r="S33" s="304"/>
    </row>
    <row r="34" spans="1:19" s="4" customFormat="1" ht="12.75" customHeight="1" x14ac:dyDescent="0.25">
      <c r="A34"/>
      <c r="B34" s="152"/>
      <c r="C34" s="153" t="s">
        <v>27</v>
      </c>
      <c r="D34" s="530"/>
      <c r="E34" s="331">
        <v>0</v>
      </c>
      <c r="F34" s="331">
        <v>0</v>
      </c>
      <c r="G34" s="331">
        <v>0</v>
      </c>
      <c r="H34" s="331">
        <v>0</v>
      </c>
      <c r="I34" s="646"/>
      <c r="J34" s="157"/>
      <c r="K34" s="332"/>
      <c r="L34" s="386"/>
      <c r="M34" s="262"/>
      <c r="N34" s="262"/>
      <c r="O34" s="262"/>
      <c r="P34" s="262"/>
      <c r="Q34" s="262"/>
      <c r="R34" s="262"/>
      <c r="S34" s="304"/>
    </row>
    <row r="35" spans="1:19" ht="12.75" customHeight="1" x14ac:dyDescent="0.25">
      <c r="B35" s="152" t="s">
        <v>40</v>
      </c>
      <c r="C35" s="1919" t="s">
        <v>41</v>
      </c>
      <c r="D35" s="1920"/>
      <c r="E35" s="609">
        <v>0</v>
      </c>
      <c r="F35" s="609">
        <v>0</v>
      </c>
      <c r="G35" s="609">
        <v>0</v>
      </c>
      <c r="H35" s="609">
        <v>0</v>
      </c>
      <c r="I35" s="611">
        <f>SUM(D35:H35)</f>
        <v>0</v>
      </c>
      <c r="J35" s="57"/>
      <c r="K35" s="332"/>
      <c r="L35" s="386"/>
      <c r="M35" s="262"/>
      <c r="N35" s="262"/>
      <c r="O35" s="262"/>
      <c r="P35" s="262"/>
      <c r="Q35" s="262"/>
      <c r="R35" s="262"/>
      <c r="S35" s="304"/>
    </row>
    <row r="36" spans="1:19" s="4" customFormat="1" ht="12.75" customHeight="1" x14ac:dyDescent="0.25">
      <c r="A36"/>
      <c r="B36" s="152"/>
      <c r="C36" s="153" t="s">
        <v>31</v>
      </c>
      <c r="D36" s="530"/>
      <c r="E36" s="331">
        <v>0.24</v>
      </c>
      <c r="F36" s="331">
        <v>0.24</v>
      </c>
      <c r="G36" s="331">
        <v>0.24</v>
      </c>
      <c r="H36" s="331">
        <v>0.24</v>
      </c>
      <c r="I36" s="646"/>
      <c r="J36" s="157"/>
      <c r="K36" s="332"/>
      <c r="L36" s="386"/>
      <c r="M36" s="262"/>
      <c r="N36" s="262"/>
      <c r="O36" s="262"/>
      <c r="P36" s="262"/>
      <c r="Q36" s="262"/>
      <c r="R36" s="262"/>
      <c r="S36" s="304"/>
    </row>
    <row r="37" spans="1:19" s="4" customFormat="1" ht="12.75" customHeight="1" x14ac:dyDescent="0.25">
      <c r="A37"/>
      <c r="B37" s="152"/>
      <c r="C37" s="153" t="s">
        <v>27</v>
      </c>
      <c r="D37" s="530"/>
      <c r="E37" s="331">
        <v>0</v>
      </c>
      <c r="F37" s="331">
        <v>0</v>
      </c>
      <c r="G37" s="331">
        <v>0</v>
      </c>
      <c r="H37" s="331">
        <v>0</v>
      </c>
      <c r="I37" s="646"/>
      <c r="J37" s="157"/>
      <c r="K37" s="332"/>
      <c r="L37" s="386"/>
      <c r="M37" s="262"/>
      <c r="N37" s="262"/>
      <c r="O37" s="262"/>
      <c r="P37" s="262"/>
      <c r="Q37" s="262"/>
      <c r="R37" s="262"/>
      <c r="S37" s="304"/>
    </row>
    <row r="38" spans="1:19" s="4" customFormat="1" ht="12.75" customHeight="1" x14ac:dyDescent="0.25">
      <c r="A38"/>
      <c r="B38" s="152" t="s">
        <v>42</v>
      </c>
      <c r="C38" s="153" t="s">
        <v>43</v>
      </c>
      <c r="D38" s="531"/>
      <c r="E38" s="609">
        <v>0</v>
      </c>
      <c r="F38" s="609">
        <v>0</v>
      </c>
      <c r="G38" s="609">
        <v>0</v>
      </c>
      <c r="H38" s="609">
        <v>0</v>
      </c>
      <c r="I38" s="611">
        <f>SUM(D38:H38)</f>
        <v>0</v>
      </c>
      <c r="J38" s="157"/>
      <c r="K38" s="332"/>
      <c r="L38" s="386"/>
      <c r="M38" s="262"/>
      <c r="N38" s="262"/>
      <c r="O38" s="262"/>
      <c r="P38" s="262"/>
      <c r="Q38" s="262"/>
      <c r="R38" s="262"/>
      <c r="S38" s="304"/>
    </row>
    <row r="39" spans="1:19" ht="12.75" customHeight="1" x14ac:dyDescent="0.25">
      <c r="B39" s="152" t="s">
        <v>44</v>
      </c>
      <c r="C39" s="325" t="s">
        <v>45</v>
      </c>
      <c r="D39" s="531"/>
      <c r="E39" s="609">
        <v>0</v>
      </c>
      <c r="F39" s="609">
        <v>0</v>
      </c>
      <c r="G39" s="609">
        <v>0</v>
      </c>
      <c r="H39" s="609">
        <v>0</v>
      </c>
      <c r="I39" s="611">
        <f>SUM(D39:H39)</f>
        <v>0</v>
      </c>
      <c r="J39" s="57"/>
      <c r="K39" s="332"/>
      <c r="L39" s="386"/>
      <c r="M39" s="262"/>
      <c r="N39" s="262"/>
      <c r="O39" s="262"/>
      <c r="P39" s="262"/>
      <c r="Q39" s="262"/>
      <c r="R39" s="262"/>
      <c r="S39" s="304"/>
    </row>
    <row r="40" spans="1:19" ht="12.75" customHeight="1" thickBot="1" x14ac:dyDescent="0.3">
      <c r="B40" s="525" t="s">
        <v>46</v>
      </c>
      <c r="C40" s="69" t="s">
        <v>47</v>
      </c>
      <c r="D40" s="533"/>
      <c r="E40" s="610">
        <f>E17+E20+E24+E27+E30+E32+E39+E35+E38</f>
        <v>0</v>
      </c>
      <c r="F40" s="610">
        <f>F17+F20+F24+F27+F30+F32+F39+F35+F38</f>
        <v>0</v>
      </c>
      <c r="G40" s="610">
        <f>G17+G20+G24+G27+G30+G32+G39+G35+G38</f>
        <v>0</v>
      </c>
      <c r="H40" s="610">
        <f>H17+H20+H24+H27+H30+H32+H39+H35+H38</f>
        <v>0</v>
      </c>
      <c r="I40" s="612">
        <f>SUM(D40:H40)</f>
        <v>0</v>
      </c>
      <c r="J40" s="57"/>
      <c r="K40" s="332">
        <v>0</v>
      </c>
      <c r="L40" s="262"/>
      <c r="M40" s="262"/>
      <c r="N40" s="262"/>
      <c r="O40" s="262"/>
      <c r="P40" s="262"/>
      <c r="Q40" s="262"/>
      <c r="R40" s="262"/>
      <c r="S40" s="304"/>
    </row>
    <row r="41" spans="1:19" ht="3" customHeight="1" thickBot="1" x14ac:dyDescent="0.3">
      <c r="B41" s="225"/>
      <c r="C41" s="226"/>
      <c r="D41" s="226"/>
      <c r="E41" s="226"/>
      <c r="F41" s="226"/>
      <c r="G41" s="226"/>
      <c r="H41" s="226"/>
      <c r="I41" s="227"/>
      <c r="K41" s="158"/>
      <c r="L41" s="159"/>
      <c r="M41" s="159"/>
      <c r="N41" s="159"/>
      <c r="O41" s="159"/>
      <c r="P41" s="159"/>
      <c r="Q41" s="159"/>
      <c r="R41" s="159"/>
      <c r="S41" s="160"/>
    </row>
    <row r="42" spans="1:19" ht="13.5" customHeight="1" x14ac:dyDescent="0.25">
      <c r="B42" s="1915" t="s">
        <v>48</v>
      </c>
      <c r="C42" s="1916"/>
      <c r="D42" s="1302"/>
      <c r="E42" s="1304" t="str">
        <f>E15</f>
        <v>Ennuste 1</v>
      </c>
      <c r="F42" s="1304" t="s">
        <v>20</v>
      </c>
      <c r="G42" s="1304" t="s">
        <v>21</v>
      </c>
      <c r="H42" s="1307" t="s">
        <v>22</v>
      </c>
      <c r="I42" s="1926" t="s">
        <v>23</v>
      </c>
      <c r="K42" s="332"/>
      <c r="L42" s="262"/>
      <c r="M42" s="262"/>
      <c r="N42" s="262"/>
      <c r="O42" s="262"/>
      <c r="P42" s="262"/>
      <c r="Q42" s="262"/>
      <c r="R42" s="262"/>
      <c r="S42" s="304"/>
    </row>
    <row r="43" spans="1:19" ht="13.5" customHeight="1" thickBot="1" x14ac:dyDescent="0.3">
      <c r="B43" s="1917"/>
      <c r="C43" s="1918"/>
      <c r="D43" s="1306"/>
      <c r="E43" s="145">
        <f>E16</f>
        <v>2024</v>
      </c>
      <c r="F43" s="145">
        <f>F16</f>
        <v>2025</v>
      </c>
      <c r="G43" s="145">
        <f>G16</f>
        <v>2026</v>
      </c>
      <c r="H43" s="229">
        <f>H16</f>
        <v>2027</v>
      </c>
      <c r="I43" s="1927"/>
      <c r="K43" s="332"/>
      <c r="L43" s="262"/>
      <c r="M43" s="262"/>
      <c r="N43" s="262"/>
      <c r="O43" s="262"/>
      <c r="P43" s="262"/>
      <c r="Q43" s="262"/>
      <c r="R43" s="262"/>
      <c r="S43" s="304"/>
    </row>
    <row r="44" spans="1:19" ht="12.75" customHeight="1" x14ac:dyDescent="0.25">
      <c r="B44" s="1910" t="s">
        <v>49</v>
      </c>
      <c r="C44" s="1911"/>
      <c r="D44" s="1833"/>
      <c r="E44" s="1834"/>
      <c r="F44" s="1834"/>
      <c r="G44" s="1834"/>
      <c r="H44" s="1835"/>
      <c r="I44" s="1836" t="s">
        <v>3</v>
      </c>
      <c r="J44" s="41"/>
      <c r="K44" s="332"/>
      <c r="L44" s="262"/>
      <c r="M44" s="262"/>
      <c r="N44" s="262"/>
      <c r="O44" s="262"/>
      <c r="P44" s="262"/>
      <c r="Q44" s="262"/>
      <c r="R44" s="262"/>
      <c r="S44" s="304"/>
    </row>
    <row r="45" spans="1:19" ht="12.75" customHeight="1" x14ac:dyDescent="0.25">
      <c r="B45" s="167" t="s">
        <v>50</v>
      </c>
      <c r="C45" s="136" t="s">
        <v>51</v>
      </c>
      <c r="D45" s="417"/>
      <c r="E45" s="613"/>
      <c r="F45" s="613"/>
      <c r="G45" s="613"/>
      <c r="H45" s="614"/>
      <c r="I45" s="615"/>
      <c r="J45" s="41"/>
      <c r="K45" s="332"/>
      <c r="L45" s="262"/>
      <c r="M45" s="262"/>
      <c r="N45" s="262"/>
      <c r="O45" s="262"/>
      <c r="P45" s="262"/>
      <c r="Q45" s="262"/>
      <c r="R45" s="262"/>
      <c r="S45" s="304"/>
    </row>
    <row r="46" spans="1:19" ht="12.75" customHeight="1" x14ac:dyDescent="0.25">
      <c r="B46" s="152"/>
      <c r="C46" s="391" t="s">
        <v>52</v>
      </c>
      <c r="D46" s="575"/>
      <c r="E46" s="609">
        <v>0</v>
      </c>
      <c r="F46" s="609">
        <v>0</v>
      </c>
      <c r="G46" s="609">
        <v>0</v>
      </c>
      <c r="H46" s="609">
        <v>0</v>
      </c>
      <c r="I46" s="617">
        <f>SUM(D46:H46)</f>
        <v>0</v>
      </c>
      <c r="J46" s="1784"/>
      <c r="K46" s="332"/>
      <c r="L46" s="262"/>
      <c r="M46" s="262"/>
      <c r="N46" s="262"/>
      <c r="O46" s="262"/>
      <c r="P46" s="262"/>
      <c r="Q46" s="262"/>
      <c r="R46" s="262"/>
      <c r="S46" s="304"/>
    </row>
    <row r="47" spans="1:19" ht="12.75" customHeight="1" x14ac:dyDescent="0.25">
      <c r="B47" s="576"/>
      <c r="C47" s="1919" t="s">
        <v>53</v>
      </c>
      <c r="D47" s="1920"/>
      <c r="E47" s="609">
        <v>0</v>
      </c>
      <c r="F47" s="609">
        <v>0</v>
      </c>
      <c r="G47" s="609">
        <v>0</v>
      </c>
      <c r="H47" s="609">
        <v>0</v>
      </c>
      <c r="I47" s="618">
        <f>SUM(D47:H47)</f>
        <v>0</v>
      </c>
      <c r="J47" s="1784"/>
      <c r="K47" s="507">
        <v>0</v>
      </c>
      <c r="L47" s="262"/>
      <c r="M47" s="262"/>
      <c r="N47" s="262"/>
      <c r="O47" s="262"/>
      <c r="P47" s="262"/>
      <c r="Q47" s="262"/>
      <c r="R47" s="262"/>
      <c r="S47" s="304"/>
    </row>
    <row r="48" spans="1:19" ht="12.75" customHeight="1" x14ac:dyDescent="0.25">
      <c r="B48" s="576" t="s">
        <v>54</v>
      </c>
      <c r="C48" s="325" t="s">
        <v>55</v>
      </c>
      <c r="D48" s="577"/>
      <c r="E48" s="619">
        <f>E60-E59-E58-E55-E54-E53-E50-E49-E46-E47-E56-E57</f>
        <v>0</v>
      </c>
      <c r="F48" s="619">
        <f>F60-F59-F58-F55-F54-F53-F50-F49-F46-F47-F56-F57</f>
        <v>0</v>
      </c>
      <c r="G48" s="619">
        <f>G60-G59-G58-G55-G54-G53-G50-G49-G46-G47-G56-G57</f>
        <v>0</v>
      </c>
      <c r="H48" s="619">
        <f>H60-H59-H58-H55-H54-H53-H50-H49-H46-H47-H56-H57</f>
        <v>0</v>
      </c>
      <c r="I48" s="620">
        <f>I60-I59-I58-I55-I54-I53-I50-I49-I46-I47-I56-I57</f>
        <v>0</v>
      </c>
      <c r="J48" s="57"/>
      <c r="K48" s="392" t="str">
        <f>IF(E48&lt;0,"LISÄÄ LUKU RIVILLE 9 Käyttöpääoman lisäys!",IF(F48&lt;0,"LISÄÄ LUKU RIVILLE 9 Käyttöpääoman lisäys!",IF(G48&lt;0,"LISÄÄ LUKU RIVILLE 9 Käyttöpääoman lisäys!",IF(H48&lt;0,"LISÄÄ LUKU RIVILLE 9 Käyttöpääoman lisäys!",""))))</f>
        <v/>
      </c>
      <c r="L48" s="1800"/>
      <c r="M48" s="1800"/>
      <c r="N48" s="1800"/>
      <c r="O48" s="1800"/>
      <c r="P48" s="1800"/>
      <c r="Q48" s="1800"/>
      <c r="R48" s="1800"/>
      <c r="S48" s="389"/>
    </row>
    <row r="49" spans="2:21" ht="12.75" customHeight="1" x14ac:dyDescent="0.25">
      <c r="B49" s="576" t="s">
        <v>56</v>
      </c>
      <c r="C49" s="1919" t="s">
        <v>57</v>
      </c>
      <c r="D49" s="1920"/>
      <c r="E49" s="609">
        <v>0</v>
      </c>
      <c r="F49" s="609">
        <v>0</v>
      </c>
      <c r="G49" s="609">
        <v>0</v>
      </c>
      <c r="H49" s="609">
        <v>0</v>
      </c>
      <c r="I49" s="620">
        <f>SUM(D49:H49)</f>
        <v>0</v>
      </c>
      <c r="J49" s="58"/>
      <c r="K49" s="398"/>
      <c r="L49" s="262"/>
      <c r="M49" s="262"/>
      <c r="N49" s="262"/>
      <c r="O49" s="262"/>
      <c r="P49" s="262"/>
      <c r="Q49" s="262"/>
      <c r="R49" s="262"/>
      <c r="S49" s="304"/>
    </row>
    <row r="50" spans="2:21" ht="12.75" customHeight="1" x14ac:dyDescent="0.25">
      <c r="B50" s="576" t="s">
        <v>58</v>
      </c>
      <c r="C50" s="1906" t="s">
        <v>59</v>
      </c>
      <c r="D50" s="1921"/>
      <c r="E50" s="609">
        <v>0</v>
      </c>
      <c r="F50" s="609">
        <v>0</v>
      </c>
      <c r="G50" s="609">
        <v>0</v>
      </c>
      <c r="H50" s="609">
        <v>0</v>
      </c>
      <c r="I50" s="620">
        <f>SUM(D50:H50)</f>
        <v>0</v>
      </c>
      <c r="J50" s="57"/>
      <c r="K50" s="392" t="str">
        <f>IF(E$50&gt;0,"JOS MYYDÄÄN OMAISUUTTA TAI SIJOITUKSIA, LISÄÄ LUKU T3 TASEEN KOHTAAN VÄHENNYS TILIKAUDELLA!",IF(F50&gt;0,"JOS MYYDÄÄN OMAISUUTTA TAI SIJOITUKSIA, LISÄÄ LUKU T3 TASEEN KOHTAAN VÄHENNYS TILIKAUDELLA!",IF(G50&gt;0,"JOS MYYDÄÄN OMAISUUTTA TAI SIJOITUKSIA, LISÄÄ LUKU T3 TASEEN KOHTAAN VÄHENNYS TILIKAUDELLA!",IF(H50&gt;0,"JOS MYYDÄÄN OMAISUUTTA TAI SIJOITUKSIA, LISÄÄ LUKU T3 TASEEN KOHTAAN VÄHENNYS TILIKAUDELLA!",""))))</f>
        <v/>
      </c>
      <c r="L50" s="120"/>
      <c r="M50" s="120"/>
      <c r="N50" s="120"/>
      <c r="O50" s="120"/>
      <c r="P50" s="120"/>
      <c r="Q50" s="120"/>
      <c r="R50" s="120"/>
      <c r="S50" s="390"/>
    </row>
    <row r="51" spans="2:21" ht="12.75" customHeight="1" x14ac:dyDescent="0.25">
      <c r="B51" s="1908" t="s">
        <v>60</v>
      </c>
      <c r="C51" s="1909"/>
      <c r="D51" s="579"/>
      <c r="E51" s="621"/>
      <c r="F51" s="621"/>
      <c r="G51" s="621"/>
      <c r="H51" s="622"/>
      <c r="I51" s="623"/>
      <c r="K51" s="849" t="s">
        <v>61</v>
      </c>
      <c r="L51" s="395"/>
      <c r="M51" s="1760" t="s">
        <v>62</v>
      </c>
      <c r="N51" s="395" t="s">
        <v>63</v>
      </c>
      <c r="O51" s="395" t="s">
        <v>64</v>
      </c>
      <c r="P51" s="262"/>
      <c r="Q51" s="262"/>
      <c r="R51" s="262"/>
      <c r="S51" s="304"/>
      <c r="T51" s="136"/>
      <c r="U51" s="136"/>
    </row>
    <row r="52" spans="2:21" ht="12.75" customHeight="1" x14ac:dyDescent="0.25">
      <c r="B52" s="471" t="s">
        <v>3</v>
      </c>
      <c r="C52" s="136" t="s">
        <v>65</v>
      </c>
      <c r="D52" s="417"/>
      <c r="E52" s="613"/>
      <c r="F52" s="613"/>
      <c r="G52" s="613"/>
      <c r="H52" s="614"/>
      <c r="I52" s="624"/>
      <c r="K52" s="847" t="str">
        <f>C53</f>
        <v xml:space="preserve">Finnvera </v>
      </c>
      <c r="L52" s="548"/>
      <c r="M52" s="331">
        <v>0</v>
      </c>
      <c r="N52" s="551">
        <v>0</v>
      </c>
      <c r="O52" s="1905">
        <v>0</v>
      </c>
      <c r="P52" s="1906"/>
      <c r="Q52" s="1906"/>
      <c r="R52" s="1906"/>
      <c r="S52" s="1907"/>
      <c r="T52" s="136"/>
      <c r="U52" s="136"/>
    </row>
    <row r="53" spans="2:21" ht="12.75" customHeight="1" x14ac:dyDescent="0.25">
      <c r="B53" s="580" t="s">
        <v>66</v>
      </c>
      <c r="C53" s="581" t="s">
        <v>67</v>
      </c>
      <c r="D53" s="578"/>
      <c r="E53" s="609">
        <v>0</v>
      </c>
      <c r="F53" s="609">
        <v>0</v>
      </c>
      <c r="G53" s="609">
        <v>0</v>
      </c>
      <c r="H53" s="609">
        <v>0</v>
      </c>
      <c r="I53" s="620">
        <f t="shared" ref="I53:I59" si="0">SUM(D53:H53)</f>
        <v>0</v>
      </c>
      <c r="J53" s="57"/>
      <c r="K53" s="847" t="str">
        <f>C54</f>
        <v>Pankki</v>
      </c>
      <c r="L53" s="548"/>
      <c r="M53" s="331">
        <v>0</v>
      </c>
      <c r="N53" s="551">
        <v>0</v>
      </c>
      <c r="O53" s="1905">
        <v>0</v>
      </c>
      <c r="P53" s="1906"/>
      <c r="Q53" s="1906"/>
      <c r="R53" s="1906"/>
      <c r="S53" s="1907"/>
      <c r="T53" s="136"/>
      <c r="U53" s="136"/>
    </row>
    <row r="54" spans="2:21" ht="12.75" customHeight="1" x14ac:dyDescent="0.25">
      <c r="B54" s="576" t="s">
        <v>68</v>
      </c>
      <c r="C54" s="1750" t="s">
        <v>69</v>
      </c>
      <c r="D54" s="578"/>
      <c r="E54" s="609">
        <v>0</v>
      </c>
      <c r="F54" s="609">
        <v>0</v>
      </c>
      <c r="G54" s="609">
        <v>0</v>
      </c>
      <c r="H54" s="609">
        <v>0</v>
      </c>
      <c r="I54" s="620">
        <f t="shared" si="0"/>
        <v>0</v>
      </c>
      <c r="J54" s="57"/>
      <c r="K54" s="848" t="s">
        <v>70</v>
      </c>
      <c r="L54" s="549"/>
      <c r="M54" s="331"/>
      <c r="N54" s="551"/>
      <c r="O54" s="1905"/>
      <c r="P54" s="1906"/>
      <c r="Q54" s="1906"/>
      <c r="R54" s="1906"/>
      <c r="S54" s="1907"/>
      <c r="T54" s="136"/>
      <c r="U54" s="136"/>
    </row>
    <row r="55" spans="2:21" ht="12.75" customHeight="1" x14ac:dyDescent="0.25">
      <c r="B55" s="576" t="s">
        <v>71</v>
      </c>
      <c r="C55" s="1750" t="s">
        <v>72</v>
      </c>
      <c r="D55" s="582"/>
      <c r="E55" s="609">
        <v>0</v>
      </c>
      <c r="F55" s="609">
        <v>0</v>
      </c>
      <c r="G55" s="609">
        <v>0</v>
      </c>
      <c r="H55" s="609">
        <v>0</v>
      </c>
      <c r="I55" s="620">
        <f>SUM(E55:H55)</f>
        <v>0</v>
      </c>
      <c r="J55" s="262"/>
      <c r="K55" s="848" t="s">
        <v>73</v>
      </c>
      <c r="L55" s="549"/>
      <c r="M55" s="331">
        <v>0</v>
      </c>
      <c r="N55" s="551"/>
      <c r="O55" s="1905"/>
      <c r="P55" s="1906"/>
      <c r="Q55" s="1906"/>
      <c r="R55" s="1906"/>
      <c r="S55" s="1907"/>
      <c r="T55" s="136"/>
      <c r="U55" s="136"/>
    </row>
    <row r="56" spans="2:21" ht="12.75" customHeight="1" x14ac:dyDescent="0.25">
      <c r="B56" s="576" t="s">
        <v>74</v>
      </c>
      <c r="C56" s="1751" t="s">
        <v>75</v>
      </c>
      <c r="D56" s="583"/>
      <c r="E56" s="609">
        <v>0</v>
      </c>
      <c r="F56" s="609">
        <v>0</v>
      </c>
      <c r="G56" s="609">
        <v>0</v>
      </c>
      <c r="H56" s="609">
        <v>0</v>
      </c>
      <c r="I56" s="620">
        <f>SUM(E56:H56)</f>
        <v>0</v>
      </c>
      <c r="J56" s="38"/>
      <c r="K56" s="392" t="str">
        <f>IF(E56&gt;0,"LISÄÄ LEASINGKUSTANNUKSET TAULUKON E1 KUSTANNUKSET KOHTAAN 3.3!",IF(F56&gt;0,"LISÄÄ LEASINGKUSTANNUKSET TAULUKON E1 KUSTANNUKSET RIVILLE 63!",IF(G56&gt;0,"LISÄÄ LEASINGKUSTANNUKSET TAULUKON E1 KUSTANNUKSET RIVILLE 63",IF(H56&gt;0,"LISÄÄ LEASINGKUSTANNUKSET TAULUKON E1 KUSTANNUKSET RIVILLE 63",""))))</f>
        <v/>
      </c>
      <c r="L56" s="262"/>
      <c r="M56" s="262"/>
      <c r="N56" s="262"/>
      <c r="O56" s="262"/>
      <c r="P56" s="262"/>
      <c r="Q56" s="262"/>
      <c r="R56" s="262"/>
      <c r="S56" s="304"/>
      <c r="T56" s="332"/>
    </row>
    <row r="57" spans="2:21" ht="12.75" customHeight="1" x14ac:dyDescent="0.25">
      <c r="B57" s="580" t="s">
        <v>76</v>
      </c>
      <c r="C57" s="391" t="s">
        <v>77</v>
      </c>
      <c r="D57" s="584"/>
      <c r="E57" s="609">
        <v>0</v>
      </c>
      <c r="F57" s="609">
        <v>0</v>
      </c>
      <c r="G57" s="609">
        <v>0</v>
      </c>
      <c r="H57" s="609">
        <v>0</v>
      </c>
      <c r="I57" s="620">
        <f>SUM(E57:H57)</f>
        <v>0</v>
      </c>
      <c r="J57" s="38"/>
      <c r="K57" s="392" t="str">
        <f>IF(E57&gt;0,"LISÄÄ VUOKRAKULUT E1 KUSTANNUKSET-TAULUKON RIVILLE 124!",IF(F57&gt;0,"LISÄÄ VUOKRAKULUT E1 KUSTANNUKSET-TAULUKON RIVILLE 124!",IF(G57&gt;0,"LISÄÄ VUOKRAKULUT E1 KUSTANNUKSET-TAULUKON RIVILLE 124!",IF(H57&gt;0,"LISÄÄ VUOKRAKULUT E1 KUSTANNUKSET-TAULUKON RIVILLE 124!",""))))</f>
        <v/>
      </c>
      <c r="L57" s="262"/>
      <c r="M57" s="262"/>
      <c r="N57" s="262"/>
      <c r="O57" s="262"/>
      <c r="P57" s="262"/>
      <c r="Q57" s="262"/>
      <c r="R57" s="262"/>
      <c r="S57" s="304"/>
      <c r="T57" s="262"/>
    </row>
    <row r="58" spans="2:21" ht="12.75" customHeight="1" x14ac:dyDescent="0.25">
      <c r="B58" s="576" t="s">
        <v>78</v>
      </c>
      <c r="C58" s="325" t="s">
        <v>79</v>
      </c>
      <c r="D58" s="372"/>
      <c r="E58" s="1768">
        <f>'AT1 Avustus, alv'!E49</f>
        <v>0</v>
      </c>
      <c r="F58" s="1768">
        <f>'AT1 Avustus, alv'!F49</f>
        <v>0</v>
      </c>
      <c r="G58" s="1768">
        <f>'AT1 Avustus, alv'!G49</f>
        <v>0</v>
      </c>
      <c r="H58" s="1768">
        <f>'AT1 Avustus, alv'!H49</f>
        <v>0</v>
      </c>
      <c r="I58" s="620">
        <f t="shared" si="0"/>
        <v>0</v>
      </c>
      <c r="J58" s="57"/>
      <c r="K58" s="332"/>
      <c r="L58" s="262"/>
      <c r="M58" s="262"/>
      <c r="N58" s="262"/>
      <c r="O58" s="262"/>
      <c r="P58" s="262"/>
      <c r="Q58" s="262"/>
      <c r="R58" s="262"/>
      <c r="S58" s="304"/>
    </row>
    <row r="59" spans="2:21" ht="12.75" customHeight="1" x14ac:dyDescent="0.25">
      <c r="B59" s="576" t="s">
        <v>80</v>
      </c>
      <c r="C59" s="325" t="s">
        <v>81</v>
      </c>
      <c r="D59" s="372"/>
      <c r="E59" s="1768">
        <f>'AT1 Avustus, alv'!E50</f>
        <v>0</v>
      </c>
      <c r="F59" s="1768">
        <f>'AT1 Avustus, alv'!F50</f>
        <v>0</v>
      </c>
      <c r="G59" s="1768">
        <f>'AT1 Avustus, alv'!G50</f>
        <v>0</v>
      </c>
      <c r="H59" s="1768">
        <f>'AT1 Avustus, alv'!H50</f>
        <v>0</v>
      </c>
      <c r="I59" s="620">
        <f t="shared" si="0"/>
        <v>0</v>
      </c>
      <c r="J59" s="57"/>
      <c r="K59" s="332"/>
      <c r="L59" s="262"/>
      <c r="M59" s="262"/>
      <c r="N59" s="262"/>
      <c r="O59" s="262"/>
      <c r="P59" s="262"/>
      <c r="Q59" s="262"/>
      <c r="R59" s="262"/>
      <c r="S59" s="304"/>
    </row>
    <row r="60" spans="2:21" ht="12.75" customHeight="1" thickBot="1" x14ac:dyDescent="0.3">
      <c r="B60" s="585" t="s">
        <v>82</v>
      </c>
      <c r="C60" s="69" t="s">
        <v>83</v>
      </c>
      <c r="D60" s="586"/>
      <c r="E60" s="1622">
        <f>E40</f>
        <v>0</v>
      </c>
      <c r="F60" s="610">
        <f>F40</f>
        <v>0</v>
      </c>
      <c r="G60" s="610">
        <f>G40</f>
        <v>0</v>
      </c>
      <c r="H60" s="610">
        <f>H40</f>
        <v>0</v>
      </c>
      <c r="I60" s="625">
        <f>SUM(D60:H60)</f>
        <v>0</v>
      </c>
      <c r="J60" s="57"/>
      <c r="K60" s="397"/>
      <c r="L60" s="262"/>
      <c r="M60" s="262"/>
      <c r="N60" s="262"/>
      <c r="O60" s="262"/>
      <c r="P60" s="262"/>
      <c r="Q60" s="262"/>
      <c r="R60" s="262"/>
      <c r="S60" s="304"/>
    </row>
    <row r="61" spans="2:21" ht="3" customHeight="1" x14ac:dyDescent="0.25">
      <c r="B61" s="1837"/>
      <c r="C61" s="537"/>
      <c r="D61" s="537"/>
      <c r="E61" s="1173"/>
      <c r="F61" s="1837"/>
      <c r="G61" s="1837"/>
      <c r="H61" s="1837"/>
      <c r="I61" s="626"/>
      <c r="J61" s="57"/>
      <c r="K61" s="158"/>
      <c r="L61" s="159"/>
      <c r="M61" s="159"/>
      <c r="N61" s="159"/>
      <c r="O61" s="159"/>
      <c r="P61" s="159"/>
      <c r="Q61" s="159"/>
      <c r="R61" s="159"/>
      <c r="S61" s="160"/>
    </row>
    <row r="62" spans="2:21" ht="12.75" customHeight="1" thickBot="1" x14ac:dyDescent="0.3">
      <c r="B62" s="526" t="s">
        <v>84</v>
      </c>
      <c r="C62" s="1838" t="s">
        <v>85</v>
      </c>
      <c r="D62" s="1838"/>
      <c r="E62" s="1839"/>
      <c r="F62" s="1839"/>
      <c r="G62" s="1839"/>
      <c r="H62" s="1839"/>
      <c r="I62" s="1840">
        <v>0</v>
      </c>
      <c r="J62" s="57"/>
      <c r="K62" s="326"/>
      <c r="L62" s="327"/>
      <c r="M62" s="327"/>
      <c r="N62" s="327"/>
      <c r="O62" s="327"/>
      <c r="P62" s="327"/>
      <c r="Q62" s="327"/>
      <c r="R62" s="327"/>
      <c r="S62" s="330"/>
    </row>
    <row r="63" spans="2:21" ht="3" customHeight="1" x14ac:dyDescent="0.25"/>
    <row r="64" spans="2:21" x14ac:dyDescent="0.25">
      <c r="B64" s="1748"/>
      <c r="C64" s="40"/>
      <c r="D64" s="505" t="str">
        <f>IF(E48&lt;0,"12. TULORAHOITUS OLTAVA VÄHINTÄÄN 0!",IF(F48&lt;0,"12. TULORAHOITUS OLTAVA VÄHINTÄÄN 0!",IF(G48&lt;0,"12. TULORAHOITUS OLTAVA VÄHINTÄÄN 0!",IF(H48&lt;0,"12. TULORAHOITUS OLTAVA VÄHINTÄÄN 0!",""))))</f>
        <v/>
      </c>
      <c r="E64" s="40"/>
      <c r="F64" s="40"/>
      <c r="G64" s="40"/>
      <c r="H64" s="40"/>
      <c r="I64" s="76" t="str">
        <f>OHJE!F6</f>
        <v>Palvelun tarjoavat</v>
      </c>
    </row>
    <row r="65" spans="2:9" x14ac:dyDescent="0.25">
      <c r="B65" s="40" t="s">
        <v>86</v>
      </c>
      <c r="C65" s="40"/>
      <c r="I65" s="405" t="str">
        <f>OHJE!G8</f>
        <v>Iisalmi, Lapinlahti, Sonkajärvi, Vieremä</v>
      </c>
    </row>
    <row r="66" spans="2:9" x14ac:dyDescent="0.25">
      <c r="B66" s="1902"/>
      <c r="C66" s="1902"/>
    </row>
    <row r="67" spans="2:9" x14ac:dyDescent="0.25">
      <c r="B67" s="345" t="s">
        <v>87</v>
      </c>
    </row>
    <row r="68" spans="2:9" x14ac:dyDescent="0.25">
      <c r="B68" s="40" t="s">
        <v>88</v>
      </c>
    </row>
    <row r="69" spans="2:9" x14ac:dyDescent="0.25">
      <c r="B69" s="40" t="s">
        <v>89</v>
      </c>
    </row>
    <row r="70" spans="2:9" ht="13.8" x14ac:dyDescent="0.25">
      <c r="B70" s="66"/>
      <c r="C70" s="67"/>
      <c r="D70" s="67"/>
    </row>
    <row r="71" spans="2:9" ht="13.8" x14ac:dyDescent="0.25">
      <c r="B71" s="66"/>
      <c r="C71" s="67"/>
      <c r="D71" s="67"/>
    </row>
    <row r="72" spans="2:9" ht="13.8" x14ac:dyDescent="0.25">
      <c r="B72" s="66"/>
      <c r="C72" s="67"/>
      <c r="D72" s="67"/>
    </row>
    <row r="73" spans="2:9" ht="13.8" x14ac:dyDescent="0.25">
      <c r="B73" s="66"/>
      <c r="C73" s="67"/>
      <c r="D73" s="67"/>
    </row>
    <row r="74" spans="2:9" ht="13.8" x14ac:dyDescent="0.25">
      <c r="B74" s="66"/>
      <c r="C74" s="67"/>
      <c r="D74" s="67"/>
    </row>
    <row r="75" spans="2:9" ht="13.8" x14ac:dyDescent="0.25">
      <c r="B75" s="66" t="s">
        <v>90</v>
      </c>
      <c r="C75" s="67"/>
    </row>
    <row r="76" spans="2:9" x14ac:dyDescent="0.25">
      <c r="B76" s="345"/>
    </row>
    <row r="77" spans="2:9" x14ac:dyDescent="0.25">
      <c r="B77" s="40"/>
    </row>
    <row r="78" spans="2:9" x14ac:dyDescent="0.25">
      <c r="B78" s="40"/>
    </row>
    <row r="101" spans="3:3" x14ac:dyDescent="0.25">
      <c r="C101" s="13"/>
    </row>
  </sheetData>
  <sheetProtection algorithmName="SHA-512" hashValue="bsJ8WsfRtWqC+NjQwTdNmEZxHcNlzh809yFVKTQIJCJyaF38VAft3iJcO2aPe6GBOl+XjdJGVhCwFrMeUdpe/w==" saltValue="Ie+miFwm4lQbniUglkDCcQ==" spinCount="100000" sheet="1" objects="1" scenarios="1"/>
  <mergeCells count="34">
    <mergeCell ref="B3:D4"/>
    <mergeCell ref="F13:I13"/>
    <mergeCell ref="O4:P4"/>
    <mergeCell ref="I42:I43"/>
    <mergeCell ref="I15:I16"/>
    <mergeCell ref="F5:G5"/>
    <mergeCell ref="F12:I12"/>
    <mergeCell ref="B7:E7"/>
    <mergeCell ref="F7:I7"/>
    <mergeCell ref="F9:I9"/>
    <mergeCell ref="F11:I11"/>
    <mergeCell ref="F10:I10"/>
    <mergeCell ref="B11:E11"/>
    <mergeCell ref="B12:E12"/>
    <mergeCell ref="B13:E13"/>
    <mergeCell ref="B51:C51"/>
    <mergeCell ref="B44:C44"/>
    <mergeCell ref="B9:E9"/>
    <mergeCell ref="B15:C16"/>
    <mergeCell ref="B42:C43"/>
    <mergeCell ref="C20:D20"/>
    <mergeCell ref="C24:D24"/>
    <mergeCell ref="C27:D27"/>
    <mergeCell ref="C30:D30"/>
    <mergeCell ref="C32:D32"/>
    <mergeCell ref="C35:D35"/>
    <mergeCell ref="C49:D49"/>
    <mergeCell ref="C47:D47"/>
    <mergeCell ref="C50:D50"/>
    <mergeCell ref="O52:S52"/>
    <mergeCell ref="O54:S54"/>
    <mergeCell ref="O53:S53"/>
    <mergeCell ref="O55:S55"/>
    <mergeCell ref="B66:C66"/>
  </mergeCells>
  <printOptions horizontalCentered="1"/>
  <pageMargins left="0.25" right="0.25" top="0.75" bottom="0.75" header="0.3" footer="0.3"/>
  <pageSetup paperSize="9" scale="95" orientation="portrait" verticalDpi="4" r:id="rId1"/>
  <colBreaks count="1" manualBreakCount="1">
    <brk id="9" min="1" max="61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N33"/>
  <sheetViews>
    <sheetView workbookViewId="0">
      <selection activeCell="D28" sqref="D28"/>
    </sheetView>
  </sheetViews>
  <sheetFormatPr defaultRowHeight="13.2" x14ac:dyDescent="0.25"/>
  <cols>
    <col min="2" max="2" width="23.109375" customWidth="1"/>
  </cols>
  <sheetData>
    <row r="2" spans="1:14" x14ac:dyDescent="0.25">
      <c r="A2" s="24"/>
      <c r="B2" s="24"/>
      <c r="C2" s="400">
        <f>'8. T5 KASSABUDJETTI'!G16</f>
        <v>45292</v>
      </c>
      <c r="D2" s="400">
        <f>'8. T5 KASSABUDJETTI'!H16</f>
        <v>45323</v>
      </c>
      <c r="E2" s="400">
        <f>'8. T5 KASSABUDJETTI'!I16</f>
        <v>45354</v>
      </c>
      <c r="F2" s="400">
        <f>'8. T5 KASSABUDJETTI'!J16</f>
        <v>45385</v>
      </c>
      <c r="G2" s="400">
        <f>'8. T5 KASSABUDJETTI'!K16</f>
        <v>45416</v>
      </c>
      <c r="H2" s="400">
        <f>'8. T5 KASSABUDJETTI'!L16</f>
        <v>45447</v>
      </c>
      <c r="I2" s="400">
        <f>'8. T5 KASSABUDJETTI'!M16</f>
        <v>45478</v>
      </c>
      <c r="J2" s="400">
        <f>'8. T5 KASSABUDJETTI'!N16</f>
        <v>45509</v>
      </c>
      <c r="K2" s="400">
        <f>'8. T5 KASSABUDJETTI'!O16</f>
        <v>45540</v>
      </c>
      <c r="L2" s="400">
        <f>'8. T5 KASSABUDJETTI'!P16</f>
        <v>45571</v>
      </c>
      <c r="M2" s="400">
        <f>'8. T5 KASSABUDJETTI'!Q16</f>
        <v>45602</v>
      </c>
      <c r="N2" s="400">
        <f>'8. T5 KASSABUDJETTI'!R16</f>
        <v>45633</v>
      </c>
    </row>
    <row r="3" spans="1:14" x14ac:dyDescent="0.25">
      <c r="A3" s="24"/>
      <c r="B3" s="24" t="s">
        <v>91</v>
      </c>
      <c r="C3" s="401">
        <f>'8. T5 KASSABUDJETTI'!E23</f>
        <v>14</v>
      </c>
      <c r="D3" s="401">
        <f>C3</f>
        <v>14</v>
      </c>
      <c r="E3" s="401">
        <f t="shared" ref="E3:N3" si="0">D3</f>
        <v>14</v>
      </c>
      <c r="F3" s="401">
        <f t="shared" si="0"/>
        <v>14</v>
      </c>
      <c r="G3" s="401">
        <f t="shared" si="0"/>
        <v>14</v>
      </c>
      <c r="H3" s="401">
        <f t="shared" si="0"/>
        <v>14</v>
      </c>
      <c r="I3" s="401">
        <f t="shared" si="0"/>
        <v>14</v>
      </c>
      <c r="J3" s="401">
        <f t="shared" si="0"/>
        <v>14</v>
      </c>
      <c r="K3" s="401">
        <f t="shared" si="0"/>
        <v>14</v>
      </c>
      <c r="L3" s="401">
        <f t="shared" si="0"/>
        <v>14</v>
      </c>
      <c r="M3" s="401">
        <f t="shared" si="0"/>
        <v>14</v>
      </c>
      <c r="N3" s="401">
        <f t="shared" si="0"/>
        <v>14</v>
      </c>
    </row>
    <row r="4" spans="1:14" x14ac:dyDescent="0.25">
      <c r="A4" s="24" t="s">
        <v>91</v>
      </c>
      <c r="B4" s="24" t="s">
        <v>92</v>
      </c>
      <c r="C4" s="46">
        <f>IF('8. T5 KASSABUDJETTI'!H12=1,0,'6. T3 TASE'!G42)</f>
        <v>0</v>
      </c>
      <c r="D4" s="46"/>
      <c r="E4" s="46"/>
      <c r="F4" s="46"/>
      <c r="G4" s="46"/>
      <c r="H4" s="46"/>
      <c r="I4" s="24"/>
      <c r="J4" s="24"/>
      <c r="K4" s="24"/>
      <c r="L4" s="24"/>
      <c r="M4" s="24"/>
      <c r="N4" s="24"/>
    </row>
    <row r="5" spans="1:14" x14ac:dyDescent="0.25">
      <c r="A5" s="4" t="s">
        <v>93</v>
      </c>
      <c r="B5" s="4" t="s">
        <v>94</v>
      </c>
      <c r="C5" s="26">
        <f>IF(C3&lt;31,C4,0)</f>
        <v>0</v>
      </c>
      <c r="D5" s="26"/>
      <c r="E5" s="26"/>
      <c r="F5" s="26"/>
      <c r="G5" s="26"/>
      <c r="H5" s="26"/>
      <c r="I5" s="4"/>
      <c r="J5" s="4"/>
      <c r="K5" s="4"/>
      <c r="L5" s="4"/>
      <c r="M5" s="4"/>
      <c r="N5" s="4"/>
    </row>
    <row r="6" spans="1:14" x14ac:dyDescent="0.25">
      <c r="A6" s="4" t="s">
        <v>95</v>
      </c>
      <c r="B6" s="4" t="s">
        <v>96</v>
      </c>
      <c r="C6" s="26">
        <f>D6</f>
        <v>0</v>
      </c>
      <c r="D6" s="26">
        <f>IF(D$3&lt;31,0,IF(D$3&lt;61,$C$4/3,0))</f>
        <v>0</v>
      </c>
      <c r="E6" s="26"/>
      <c r="F6" s="26"/>
      <c r="G6" s="26"/>
      <c r="H6" s="26"/>
      <c r="I6" s="4"/>
      <c r="J6" s="4"/>
      <c r="K6" s="4"/>
      <c r="L6" s="4"/>
      <c r="M6" s="4"/>
      <c r="N6" s="4"/>
    </row>
    <row r="7" spans="1:14" x14ac:dyDescent="0.25">
      <c r="A7" s="4" t="s">
        <v>97</v>
      </c>
      <c r="B7" s="4" t="s">
        <v>98</v>
      </c>
      <c r="C7" s="26">
        <f>E7</f>
        <v>0</v>
      </c>
      <c r="D7" s="26">
        <f>E7</f>
        <v>0</v>
      </c>
      <c r="E7" s="26">
        <f>IF(E$3&lt;61,0,IF(E$3&lt;91,$C$4/3,0))</f>
        <v>0</v>
      </c>
      <c r="F7" s="26"/>
      <c r="G7" s="26"/>
      <c r="H7" s="26"/>
      <c r="I7" s="4"/>
      <c r="J7" s="4"/>
      <c r="K7" s="4"/>
      <c r="L7" s="4"/>
      <c r="M7" s="4"/>
      <c r="N7" s="4"/>
    </row>
    <row r="8" spans="1:14" x14ac:dyDescent="0.25">
      <c r="A8" s="4" t="s">
        <v>99</v>
      </c>
      <c r="B8" s="4" t="s">
        <v>100</v>
      </c>
      <c r="C8" s="26">
        <f>F8</f>
        <v>0</v>
      </c>
      <c r="D8" s="26">
        <f>F8</f>
        <v>0</v>
      </c>
      <c r="E8" s="26">
        <f>F8</f>
        <v>0</v>
      </c>
      <c r="F8" s="26">
        <f>IF(F$3&lt;91,0,IF(F$3&lt;121,$C$4/4,0))</f>
        <v>0</v>
      </c>
      <c r="G8" s="26"/>
      <c r="H8" s="26"/>
      <c r="I8" s="4"/>
      <c r="J8" s="4"/>
      <c r="K8" s="4"/>
      <c r="L8" s="4"/>
      <c r="M8" s="4"/>
      <c r="N8" s="4"/>
    </row>
    <row r="9" spans="1:14" x14ac:dyDescent="0.25">
      <c r="A9" s="4" t="s">
        <v>101</v>
      </c>
      <c r="B9" s="4" t="s">
        <v>102</v>
      </c>
      <c r="C9" s="26">
        <f>D9</f>
        <v>0</v>
      </c>
      <c r="D9" s="26">
        <f>G9</f>
        <v>0</v>
      </c>
      <c r="E9" s="26">
        <f>G9</f>
        <v>0</v>
      </c>
      <c r="F9" s="26">
        <f>G9</f>
        <v>0</v>
      </c>
      <c r="G9" s="26">
        <f>IF(G$3&lt;121,0,IF(G$3&lt;151,$C$4/5,0))</f>
        <v>0</v>
      </c>
      <c r="H9" s="26"/>
      <c r="I9" s="4"/>
      <c r="J9" s="4"/>
      <c r="K9" s="4"/>
      <c r="L9" s="4"/>
      <c r="M9" s="4"/>
      <c r="N9" s="4"/>
    </row>
    <row r="10" spans="1:14" x14ac:dyDescent="0.25">
      <c r="A10" s="4" t="s">
        <v>103</v>
      </c>
      <c r="B10" s="4" t="s">
        <v>104</v>
      </c>
      <c r="C10" s="26">
        <f>D10</f>
        <v>0</v>
      </c>
      <c r="D10" s="26">
        <f>E10</f>
        <v>0</v>
      </c>
      <c r="E10" s="26">
        <f>H10</f>
        <v>0</v>
      </c>
      <c r="F10" s="26">
        <f>H10</f>
        <v>0</v>
      </c>
      <c r="G10" s="26">
        <f>H10</f>
        <v>0</v>
      </c>
      <c r="H10" s="26">
        <f>IF(H$3&lt;151,0,IF(H$3&lt;181,$C$4/6,0))</f>
        <v>0</v>
      </c>
      <c r="I10" s="4"/>
      <c r="J10" s="4"/>
      <c r="K10" s="4"/>
      <c r="L10" s="4"/>
      <c r="M10" s="4"/>
      <c r="N10" s="4"/>
    </row>
    <row r="11" spans="1:14" x14ac:dyDescent="0.25">
      <c r="A11" s="4"/>
      <c r="B11" s="402" t="s">
        <v>23</v>
      </c>
      <c r="C11" s="46">
        <f t="shared" ref="C11:H11" si="1">SUM(C5:C10)</f>
        <v>0</v>
      </c>
      <c r="D11" s="46">
        <f t="shared" si="1"/>
        <v>0</v>
      </c>
      <c r="E11" s="46">
        <f t="shared" si="1"/>
        <v>0</v>
      </c>
      <c r="F11" s="46">
        <f t="shared" si="1"/>
        <v>0</v>
      </c>
      <c r="G11" s="46">
        <f t="shared" si="1"/>
        <v>0</v>
      </c>
      <c r="H11" s="46">
        <f t="shared" si="1"/>
        <v>0</v>
      </c>
      <c r="I11" s="24"/>
      <c r="J11" s="24"/>
      <c r="K11" s="24"/>
      <c r="L11" s="24"/>
      <c r="M11" s="24"/>
      <c r="N11" s="24"/>
    </row>
    <row r="12" spans="1:14" x14ac:dyDescent="0.25">
      <c r="A12" s="24" t="s">
        <v>3</v>
      </c>
      <c r="B12" s="24" t="s">
        <v>105</v>
      </c>
      <c r="C12" s="46">
        <f>'8. T5 KASSABUDJETTI'!G21</f>
        <v>0</v>
      </c>
      <c r="D12" s="46">
        <f>'8. T5 KASSABUDJETTI'!H21</f>
        <v>0</v>
      </c>
      <c r="E12" s="46">
        <f>'8. T5 KASSABUDJETTI'!I21</f>
        <v>0</v>
      </c>
      <c r="F12" s="46">
        <f>'8. T5 KASSABUDJETTI'!J21</f>
        <v>0</v>
      </c>
      <c r="G12" s="46">
        <f>'8. T5 KASSABUDJETTI'!K21</f>
        <v>0</v>
      </c>
      <c r="H12" s="46">
        <f>'8. T5 KASSABUDJETTI'!L21</f>
        <v>0</v>
      </c>
      <c r="I12" s="46">
        <f>'8. T5 KASSABUDJETTI'!M21</f>
        <v>0</v>
      </c>
      <c r="J12" s="46">
        <f>'8. T5 KASSABUDJETTI'!N21</f>
        <v>0</v>
      </c>
      <c r="K12" s="46">
        <f>'8. T5 KASSABUDJETTI'!O21</f>
        <v>0</v>
      </c>
      <c r="L12" s="46">
        <f>'8. T5 KASSABUDJETTI'!P21</f>
        <v>0</v>
      </c>
      <c r="M12" s="46">
        <f>'8. T5 KASSABUDJETTI'!Q21</f>
        <v>0</v>
      </c>
      <c r="N12" s="46">
        <f>'8. T5 KASSABUDJETTI'!R21</f>
        <v>0</v>
      </c>
    </row>
    <row r="13" spans="1:14" x14ac:dyDescent="0.25">
      <c r="A13" s="403" t="s">
        <v>93</v>
      </c>
      <c r="B13" s="403" t="s">
        <v>106</v>
      </c>
      <c r="C13" s="404">
        <f t="shared" ref="C13:N13" si="2">IF(C$3&lt;31,C$12*(30-C3)/30,0)</f>
        <v>0</v>
      </c>
      <c r="D13" s="404">
        <f t="shared" si="2"/>
        <v>0</v>
      </c>
      <c r="E13" s="404">
        <f>IF(E$3&lt;31,E$12*(30-E3)/30,0)</f>
        <v>0</v>
      </c>
      <c r="F13" s="404">
        <f t="shared" si="2"/>
        <v>0</v>
      </c>
      <c r="G13" s="404">
        <f t="shared" si="2"/>
        <v>0</v>
      </c>
      <c r="H13" s="404">
        <f t="shared" si="2"/>
        <v>0</v>
      </c>
      <c r="I13" s="404">
        <f t="shared" si="2"/>
        <v>0</v>
      </c>
      <c r="J13" s="404">
        <f t="shared" si="2"/>
        <v>0</v>
      </c>
      <c r="K13" s="404">
        <f t="shared" si="2"/>
        <v>0</v>
      </c>
      <c r="L13" s="404">
        <f t="shared" si="2"/>
        <v>0</v>
      </c>
      <c r="M13" s="404">
        <f t="shared" si="2"/>
        <v>0</v>
      </c>
      <c r="N13" s="404">
        <f t="shared" si="2"/>
        <v>0</v>
      </c>
    </row>
    <row r="14" spans="1:14" x14ac:dyDescent="0.25">
      <c r="A14" s="4" t="s">
        <v>95</v>
      </c>
      <c r="B14" s="4" t="s">
        <v>107</v>
      </c>
      <c r="C14" s="26">
        <f t="shared" ref="C14:N14" si="3">IF(C3&gt;30,0,C12-C13)</f>
        <v>0</v>
      </c>
      <c r="D14" s="26">
        <f t="shared" si="3"/>
        <v>0</v>
      </c>
      <c r="E14" s="26">
        <f t="shared" si="3"/>
        <v>0</v>
      </c>
      <c r="F14" s="26">
        <f t="shared" si="3"/>
        <v>0</v>
      </c>
      <c r="G14" s="26">
        <f t="shared" si="3"/>
        <v>0</v>
      </c>
      <c r="H14" s="26">
        <f t="shared" si="3"/>
        <v>0</v>
      </c>
      <c r="I14" s="26">
        <f t="shared" si="3"/>
        <v>0</v>
      </c>
      <c r="J14" s="26">
        <f t="shared" si="3"/>
        <v>0</v>
      </c>
      <c r="K14" s="26">
        <f t="shared" si="3"/>
        <v>0</v>
      </c>
      <c r="L14" s="26">
        <f t="shared" si="3"/>
        <v>0</v>
      </c>
      <c r="M14" s="26">
        <f t="shared" si="3"/>
        <v>0</v>
      </c>
      <c r="N14" s="26">
        <f t="shared" si="3"/>
        <v>0</v>
      </c>
    </row>
    <row r="15" spans="1:14" x14ac:dyDescent="0.25">
      <c r="A15" s="403" t="s">
        <v>95</v>
      </c>
      <c r="B15" s="403" t="s">
        <v>107</v>
      </c>
      <c r="C15" s="404">
        <f t="shared" ref="C15:N15" si="4">IF(C$3&lt;31,0,IF(C$3&gt;60,0,C$12*(60-C$3))/30)</f>
        <v>0</v>
      </c>
      <c r="D15" s="404">
        <f t="shared" si="4"/>
        <v>0</v>
      </c>
      <c r="E15" s="404">
        <f t="shared" si="4"/>
        <v>0</v>
      </c>
      <c r="F15" s="404">
        <f t="shared" si="4"/>
        <v>0</v>
      </c>
      <c r="G15" s="404">
        <f t="shared" si="4"/>
        <v>0</v>
      </c>
      <c r="H15" s="404">
        <f t="shared" si="4"/>
        <v>0</v>
      </c>
      <c r="I15" s="404">
        <f t="shared" si="4"/>
        <v>0</v>
      </c>
      <c r="J15" s="404">
        <f t="shared" si="4"/>
        <v>0</v>
      </c>
      <c r="K15" s="404">
        <f t="shared" si="4"/>
        <v>0</v>
      </c>
      <c r="L15" s="404">
        <f t="shared" si="4"/>
        <v>0</v>
      </c>
      <c r="M15" s="404">
        <f t="shared" si="4"/>
        <v>0</v>
      </c>
      <c r="N15" s="404">
        <f t="shared" si="4"/>
        <v>0</v>
      </c>
    </row>
    <row r="16" spans="1:14" x14ac:dyDescent="0.25">
      <c r="A16" s="4" t="s">
        <v>97</v>
      </c>
      <c r="B16" s="4" t="s">
        <v>108</v>
      </c>
      <c r="C16" s="26">
        <f>IF(C$3&lt;31,0,IF(C$3&gt;60,0,C12-C15))</f>
        <v>0</v>
      </c>
      <c r="D16" s="26">
        <f t="shared" ref="D16:N16" si="5">IF(D$3&lt;31,0,IF(D$3&gt;60,0,D12-D15))</f>
        <v>0</v>
      </c>
      <c r="E16" s="26">
        <f t="shared" si="5"/>
        <v>0</v>
      </c>
      <c r="F16" s="26">
        <f t="shared" si="5"/>
        <v>0</v>
      </c>
      <c r="G16" s="26">
        <f t="shared" si="5"/>
        <v>0</v>
      </c>
      <c r="H16" s="26">
        <f t="shared" si="5"/>
        <v>0</v>
      </c>
      <c r="I16" s="26">
        <f t="shared" si="5"/>
        <v>0</v>
      </c>
      <c r="J16" s="26">
        <f t="shared" si="5"/>
        <v>0</v>
      </c>
      <c r="K16" s="26">
        <f t="shared" si="5"/>
        <v>0</v>
      </c>
      <c r="L16" s="26">
        <f t="shared" si="5"/>
        <v>0</v>
      </c>
      <c r="M16" s="26">
        <f t="shared" si="5"/>
        <v>0</v>
      </c>
      <c r="N16" s="26">
        <f t="shared" si="5"/>
        <v>0</v>
      </c>
    </row>
    <row r="17" spans="1:14" x14ac:dyDescent="0.25">
      <c r="A17" s="403" t="s">
        <v>97</v>
      </c>
      <c r="B17" s="403" t="s">
        <v>108</v>
      </c>
      <c r="C17" s="404">
        <f t="shared" ref="C17:N17" si="6">IF(C$3&lt;61,0,IF(C$3&gt;90,0,C$12*(90-C$3))/30)</f>
        <v>0</v>
      </c>
      <c r="D17" s="404">
        <f t="shared" si="6"/>
        <v>0</v>
      </c>
      <c r="E17" s="404">
        <f t="shared" si="6"/>
        <v>0</v>
      </c>
      <c r="F17" s="404">
        <f t="shared" si="6"/>
        <v>0</v>
      </c>
      <c r="G17" s="404">
        <f t="shared" si="6"/>
        <v>0</v>
      </c>
      <c r="H17" s="404">
        <f t="shared" si="6"/>
        <v>0</v>
      </c>
      <c r="I17" s="404">
        <f t="shared" si="6"/>
        <v>0</v>
      </c>
      <c r="J17" s="404">
        <f t="shared" si="6"/>
        <v>0</v>
      </c>
      <c r="K17" s="404">
        <f t="shared" si="6"/>
        <v>0</v>
      </c>
      <c r="L17" s="404">
        <f t="shared" si="6"/>
        <v>0</v>
      </c>
      <c r="M17" s="404">
        <f t="shared" si="6"/>
        <v>0</v>
      </c>
      <c r="N17" s="404">
        <f t="shared" si="6"/>
        <v>0</v>
      </c>
    </row>
    <row r="18" spans="1:14" x14ac:dyDescent="0.25">
      <c r="A18" s="4" t="s">
        <v>99</v>
      </c>
      <c r="B18" s="4" t="s">
        <v>109</v>
      </c>
      <c r="C18" s="26">
        <f>IF(C$3&lt;61,0,IF(C$3&gt;90,0,C12-C17))</f>
        <v>0</v>
      </c>
      <c r="D18" s="26">
        <f t="shared" ref="D18:N18" si="7">IF(D$3&lt;61,0,IF(D$3&gt;90,0,D12-D17))</f>
        <v>0</v>
      </c>
      <c r="E18" s="26">
        <f t="shared" si="7"/>
        <v>0</v>
      </c>
      <c r="F18" s="26">
        <f t="shared" si="7"/>
        <v>0</v>
      </c>
      <c r="G18" s="26">
        <f t="shared" si="7"/>
        <v>0</v>
      </c>
      <c r="H18" s="26">
        <f t="shared" si="7"/>
        <v>0</v>
      </c>
      <c r="I18" s="26">
        <f t="shared" si="7"/>
        <v>0</v>
      </c>
      <c r="J18" s="26">
        <f t="shared" si="7"/>
        <v>0</v>
      </c>
      <c r="K18" s="26">
        <f t="shared" si="7"/>
        <v>0</v>
      </c>
      <c r="L18" s="26">
        <f t="shared" si="7"/>
        <v>0</v>
      </c>
      <c r="M18" s="26">
        <f t="shared" si="7"/>
        <v>0</v>
      </c>
      <c r="N18" s="26">
        <f t="shared" si="7"/>
        <v>0</v>
      </c>
    </row>
    <row r="19" spans="1:14" x14ac:dyDescent="0.25">
      <c r="A19" s="403" t="s">
        <v>99</v>
      </c>
      <c r="B19" s="403" t="s">
        <v>109</v>
      </c>
      <c r="C19" s="404">
        <f t="shared" ref="C19:N19" si="8">IF(C$3&lt;91,0,IF(C$3&gt;120,0,C$12*(120-C$3))/30)</f>
        <v>0</v>
      </c>
      <c r="D19" s="404">
        <f t="shared" si="8"/>
        <v>0</v>
      </c>
      <c r="E19" s="404">
        <f t="shared" si="8"/>
        <v>0</v>
      </c>
      <c r="F19" s="404">
        <f t="shared" si="8"/>
        <v>0</v>
      </c>
      <c r="G19" s="404">
        <f t="shared" si="8"/>
        <v>0</v>
      </c>
      <c r="H19" s="404">
        <f t="shared" si="8"/>
        <v>0</v>
      </c>
      <c r="I19" s="404">
        <f t="shared" si="8"/>
        <v>0</v>
      </c>
      <c r="J19" s="404">
        <f t="shared" si="8"/>
        <v>0</v>
      </c>
      <c r="K19" s="404">
        <f t="shared" si="8"/>
        <v>0</v>
      </c>
      <c r="L19" s="404">
        <f t="shared" si="8"/>
        <v>0</v>
      </c>
      <c r="M19" s="404">
        <f t="shared" si="8"/>
        <v>0</v>
      </c>
      <c r="N19" s="404">
        <f t="shared" si="8"/>
        <v>0</v>
      </c>
    </row>
    <row r="20" spans="1:14" x14ac:dyDescent="0.25">
      <c r="A20" s="4" t="s">
        <v>101</v>
      </c>
      <c r="B20" s="4" t="s">
        <v>110</v>
      </c>
      <c r="C20" s="26">
        <f>IF(C$3&lt;91,0,IF(C$3&gt;120,0,C12-C19))</f>
        <v>0</v>
      </c>
      <c r="D20" s="26">
        <f t="shared" ref="D20:N20" si="9">IF(D$3&lt;91,0,IF(D$3&gt;120,0,D12-D19))</f>
        <v>0</v>
      </c>
      <c r="E20" s="26">
        <f t="shared" si="9"/>
        <v>0</v>
      </c>
      <c r="F20" s="26">
        <f t="shared" si="9"/>
        <v>0</v>
      </c>
      <c r="G20" s="26">
        <f t="shared" si="9"/>
        <v>0</v>
      </c>
      <c r="H20" s="26">
        <f t="shared" si="9"/>
        <v>0</v>
      </c>
      <c r="I20" s="26">
        <f t="shared" si="9"/>
        <v>0</v>
      </c>
      <c r="J20" s="26">
        <f t="shared" si="9"/>
        <v>0</v>
      </c>
      <c r="K20" s="26">
        <f t="shared" si="9"/>
        <v>0</v>
      </c>
      <c r="L20" s="26">
        <f t="shared" si="9"/>
        <v>0</v>
      </c>
      <c r="M20" s="26">
        <f t="shared" si="9"/>
        <v>0</v>
      </c>
      <c r="N20" s="26">
        <f t="shared" si="9"/>
        <v>0</v>
      </c>
    </row>
    <row r="21" spans="1:14" x14ac:dyDescent="0.25">
      <c r="A21" s="403" t="s">
        <v>101</v>
      </c>
      <c r="B21" s="403" t="s">
        <v>110</v>
      </c>
      <c r="C21" s="404">
        <f t="shared" ref="C21:N21" si="10">IF(C$3&lt;121,0,IF(C$3&gt;150,0,C$12*(150-C$3))/30)</f>
        <v>0</v>
      </c>
      <c r="D21" s="404">
        <f t="shared" si="10"/>
        <v>0</v>
      </c>
      <c r="E21" s="404">
        <f t="shared" si="10"/>
        <v>0</v>
      </c>
      <c r="F21" s="404">
        <f t="shared" si="10"/>
        <v>0</v>
      </c>
      <c r="G21" s="404">
        <f t="shared" si="10"/>
        <v>0</v>
      </c>
      <c r="H21" s="404">
        <f t="shared" si="10"/>
        <v>0</v>
      </c>
      <c r="I21" s="404">
        <f t="shared" si="10"/>
        <v>0</v>
      </c>
      <c r="J21" s="404">
        <f t="shared" si="10"/>
        <v>0</v>
      </c>
      <c r="K21" s="404">
        <f t="shared" si="10"/>
        <v>0</v>
      </c>
      <c r="L21" s="404">
        <f t="shared" si="10"/>
        <v>0</v>
      </c>
      <c r="M21" s="404">
        <f t="shared" si="10"/>
        <v>0</v>
      </c>
      <c r="N21" s="404">
        <f t="shared" si="10"/>
        <v>0</v>
      </c>
    </row>
    <row r="22" spans="1:14" x14ac:dyDescent="0.25">
      <c r="A22" s="4" t="s">
        <v>103</v>
      </c>
      <c r="B22" s="4" t="s">
        <v>111</v>
      </c>
      <c r="C22" s="26">
        <f>IF(C$3&lt;121,0,IF(C$3&gt;150,0,C12-C21))</f>
        <v>0</v>
      </c>
      <c r="D22" s="26">
        <f t="shared" ref="D22:N22" si="11">IF(D$3&lt;121,0,IF(D$3&gt;150,0,D12-D21))</f>
        <v>0</v>
      </c>
      <c r="E22" s="26">
        <f t="shared" si="11"/>
        <v>0</v>
      </c>
      <c r="F22" s="26">
        <f t="shared" si="11"/>
        <v>0</v>
      </c>
      <c r="G22" s="26">
        <f t="shared" si="11"/>
        <v>0</v>
      </c>
      <c r="H22" s="26">
        <f t="shared" si="11"/>
        <v>0</v>
      </c>
      <c r="I22" s="26">
        <f t="shared" si="11"/>
        <v>0</v>
      </c>
      <c r="J22" s="26">
        <f t="shared" si="11"/>
        <v>0</v>
      </c>
      <c r="K22" s="26">
        <f t="shared" si="11"/>
        <v>0</v>
      </c>
      <c r="L22" s="26">
        <f t="shared" si="11"/>
        <v>0</v>
      </c>
      <c r="M22" s="26">
        <f t="shared" si="11"/>
        <v>0</v>
      </c>
      <c r="N22" s="26">
        <f t="shared" si="11"/>
        <v>0</v>
      </c>
    </row>
    <row r="23" spans="1:14" x14ac:dyDescent="0.25">
      <c r="A23" s="403" t="s">
        <v>103</v>
      </c>
      <c r="B23" s="403" t="s">
        <v>111</v>
      </c>
      <c r="C23" s="404">
        <f t="shared" ref="C23:N23" si="12">IF(C$3&lt;151,0,IF(C$3&gt;180,0,C$12*(180-C$3))/30)</f>
        <v>0</v>
      </c>
      <c r="D23" s="404">
        <f t="shared" si="12"/>
        <v>0</v>
      </c>
      <c r="E23" s="404">
        <f t="shared" si="12"/>
        <v>0</v>
      </c>
      <c r="F23" s="404">
        <f t="shared" si="12"/>
        <v>0</v>
      </c>
      <c r="G23" s="404">
        <f t="shared" si="12"/>
        <v>0</v>
      </c>
      <c r="H23" s="404">
        <f t="shared" si="12"/>
        <v>0</v>
      </c>
      <c r="I23" s="404">
        <f t="shared" si="12"/>
        <v>0</v>
      </c>
      <c r="J23" s="404">
        <f t="shared" si="12"/>
        <v>0</v>
      </c>
      <c r="K23" s="404">
        <f t="shared" si="12"/>
        <v>0</v>
      </c>
      <c r="L23" s="404">
        <f t="shared" si="12"/>
        <v>0</v>
      </c>
      <c r="M23" s="404">
        <f t="shared" si="12"/>
        <v>0</v>
      </c>
      <c r="N23" s="404">
        <f t="shared" si="12"/>
        <v>0</v>
      </c>
    </row>
    <row r="24" spans="1:14" x14ac:dyDescent="0.25">
      <c r="A24" s="4"/>
      <c r="B24" s="4" t="s">
        <v>112</v>
      </c>
      <c r="C24" s="26">
        <f>IF(C$3&lt;151,0,IF(C$3&gt;180,0,C12-C23))</f>
        <v>0</v>
      </c>
      <c r="D24" s="26">
        <f t="shared" ref="D24:N24" si="13">IF(D$3&lt;151,0,IF(D$3&gt;180,0,D12-D23))</f>
        <v>0</v>
      </c>
      <c r="E24" s="26">
        <f t="shared" si="13"/>
        <v>0</v>
      </c>
      <c r="F24" s="26">
        <f t="shared" si="13"/>
        <v>0</v>
      </c>
      <c r="G24" s="26">
        <f t="shared" si="13"/>
        <v>0</v>
      </c>
      <c r="H24" s="26">
        <f t="shared" si="13"/>
        <v>0</v>
      </c>
      <c r="I24" s="26">
        <f t="shared" si="13"/>
        <v>0</v>
      </c>
      <c r="J24" s="26">
        <f t="shared" si="13"/>
        <v>0</v>
      </c>
      <c r="K24" s="26">
        <f t="shared" si="13"/>
        <v>0</v>
      </c>
      <c r="L24" s="26">
        <f t="shared" si="13"/>
        <v>0</v>
      </c>
      <c r="M24" s="26">
        <f t="shared" si="13"/>
        <v>0</v>
      </c>
      <c r="N24" s="26">
        <f t="shared" si="13"/>
        <v>0</v>
      </c>
    </row>
    <row r="25" spans="1:14" x14ac:dyDescent="0.25">
      <c r="A25" s="24"/>
      <c r="B25" s="24" t="s">
        <v>113</v>
      </c>
      <c r="C25" s="400">
        <f t="shared" ref="C25:N25" si="14">C2</f>
        <v>45292</v>
      </c>
      <c r="D25" s="400">
        <f t="shared" si="14"/>
        <v>45323</v>
      </c>
      <c r="E25" s="400">
        <f t="shared" si="14"/>
        <v>45354</v>
      </c>
      <c r="F25" s="400">
        <f t="shared" si="14"/>
        <v>45385</v>
      </c>
      <c r="G25" s="400">
        <f t="shared" si="14"/>
        <v>45416</v>
      </c>
      <c r="H25" s="400">
        <f t="shared" si="14"/>
        <v>45447</v>
      </c>
      <c r="I25" s="400">
        <f t="shared" si="14"/>
        <v>45478</v>
      </c>
      <c r="J25" s="400">
        <f t="shared" si="14"/>
        <v>45509</v>
      </c>
      <c r="K25" s="400">
        <f t="shared" si="14"/>
        <v>45540</v>
      </c>
      <c r="L25" s="400">
        <f t="shared" si="14"/>
        <v>45571</v>
      </c>
      <c r="M25" s="400">
        <f t="shared" si="14"/>
        <v>45602</v>
      </c>
      <c r="N25" s="400">
        <f t="shared" si="14"/>
        <v>45633</v>
      </c>
    </row>
    <row r="26" spans="1:14" x14ac:dyDescent="0.25">
      <c r="A26" s="4"/>
      <c r="B26" s="4" t="s">
        <v>114</v>
      </c>
      <c r="C26" s="26">
        <f>C13</f>
        <v>0</v>
      </c>
      <c r="D26" s="26">
        <f>D13</f>
        <v>0</v>
      </c>
      <c r="E26" s="26">
        <f t="shared" ref="E26:N26" si="15">E13</f>
        <v>0</v>
      </c>
      <c r="F26" s="26">
        <f t="shared" si="15"/>
        <v>0</v>
      </c>
      <c r="G26" s="26">
        <f t="shared" si="15"/>
        <v>0</v>
      </c>
      <c r="H26" s="26">
        <f t="shared" si="15"/>
        <v>0</v>
      </c>
      <c r="I26" s="26">
        <f t="shared" si="15"/>
        <v>0</v>
      </c>
      <c r="J26" s="26">
        <f t="shared" si="15"/>
        <v>0</v>
      </c>
      <c r="K26" s="26">
        <f t="shared" si="15"/>
        <v>0</v>
      </c>
      <c r="L26" s="26">
        <f t="shared" si="15"/>
        <v>0</v>
      </c>
      <c r="M26" s="26">
        <f t="shared" si="15"/>
        <v>0</v>
      </c>
      <c r="N26" s="26">
        <f t="shared" si="15"/>
        <v>0</v>
      </c>
    </row>
    <row r="27" spans="1:14" x14ac:dyDescent="0.25">
      <c r="A27" s="4"/>
      <c r="B27" s="4" t="s">
        <v>107</v>
      </c>
      <c r="C27" s="26"/>
      <c r="D27" s="26">
        <f>C14+C15+D11</f>
        <v>0</v>
      </c>
      <c r="E27" s="26">
        <f t="shared" ref="E27:M27" si="16">D14+D15</f>
        <v>0</v>
      </c>
      <c r="F27" s="26">
        <f t="shared" si="16"/>
        <v>0</v>
      </c>
      <c r="G27" s="26">
        <f t="shared" si="16"/>
        <v>0</v>
      </c>
      <c r="H27" s="26">
        <f t="shared" si="16"/>
        <v>0</v>
      </c>
      <c r="I27" s="26">
        <f t="shared" si="16"/>
        <v>0</v>
      </c>
      <c r="J27" s="26">
        <f t="shared" si="16"/>
        <v>0</v>
      </c>
      <c r="K27" s="26">
        <f t="shared" si="16"/>
        <v>0</v>
      </c>
      <c r="L27" s="26">
        <f t="shared" si="16"/>
        <v>0</v>
      </c>
      <c r="M27" s="26">
        <f t="shared" si="16"/>
        <v>0</v>
      </c>
      <c r="N27" s="26">
        <f>M14+M15</f>
        <v>0</v>
      </c>
    </row>
    <row r="28" spans="1:14" x14ac:dyDescent="0.25">
      <c r="A28" s="4"/>
      <c r="B28" s="4" t="s">
        <v>108</v>
      </c>
      <c r="C28" s="26"/>
      <c r="D28" s="26"/>
      <c r="E28" s="26">
        <f>C16+C17+E11</f>
        <v>0</v>
      </c>
      <c r="F28" s="26">
        <f t="shared" ref="F28:M28" si="17">D16+D17</f>
        <v>0</v>
      </c>
      <c r="G28" s="26">
        <f t="shared" si="17"/>
        <v>0</v>
      </c>
      <c r="H28" s="26">
        <f t="shared" si="17"/>
        <v>0</v>
      </c>
      <c r="I28" s="26">
        <f t="shared" si="17"/>
        <v>0</v>
      </c>
      <c r="J28" s="26">
        <f t="shared" si="17"/>
        <v>0</v>
      </c>
      <c r="K28" s="26">
        <f t="shared" si="17"/>
        <v>0</v>
      </c>
      <c r="L28" s="26">
        <f t="shared" si="17"/>
        <v>0</v>
      </c>
      <c r="M28" s="26">
        <f t="shared" si="17"/>
        <v>0</v>
      </c>
      <c r="N28" s="26">
        <f>L16+L17</f>
        <v>0</v>
      </c>
    </row>
    <row r="29" spans="1:14" x14ac:dyDescent="0.25">
      <c r="A29" s="4"/>
      <c r="B29" s="4" t="s">
        <v>109</v>
      </c>
      <c r="C29" s="26"/>
      <c r="D29" s="26"/>
      <c r="E29" s="26"/>
      <c r="F29" s="26">
        <f>C18+C19+F11</f>
        <v>0</v>
      </c>
      <c r="G29" s="26">
        <f t="shared" ref="G29:M29" si="18">D18+D19</f>
        <v>0</v>
      </c>
      <c r="H29" s="26">
        <f t="shared" si="18"/>
        <v>0</v>
      </c>
      <c r="I29" s="26">
        <f t="shared" si="18"/>
        <v>0</v>
      </c>
      <c r="J29" s="26">
        <f t="shared" si="18"/>
        <v>0</v>
      </c>
      <c r="K29" s="26">
        <f t="shared" si="18"/>
        <v>0</v>
      </c>
      <c r="L29" s="26">
        <f t="shared" si="18"/>
        <v>0</v>
      </c>
      <c r="M29" s="26">
        <f t="shared" si="18"/>
        <v>0</v>
      </c>
      <c r="N29" s="26">
        <f>K18+K19</f>
        <v>0</v>
      </c>
    </row>
    <row r="30" spans="1:14" x14ac:dyDescent="0.25">
      <c r="A30" s="4"/>
      <c r="B30" s="4" t="s">
        <v>110</v>
      </c>
      <c r="C30" s="26"/>
      <c r="D30" s="26"/>
      <c r="E30" s="26"/>
      <c r="F30" s="26"/>
      <c r="G30" s="26">
        <f>C20+C21+G11</f>
        <v>0</v>
      </c>
      <c r="H30" s="26">
        <f t="shared" ref="H30:M30" si="19">D20+D21</f>
        <v>0</v>
      </c>
      <c r="I30" s="26">
        <f t="shared" si="19"/>
        <v>0</v>
      </c>
      <c r="J30" s="26">
        <f t="shared" si="19"/>
        <v>0</v>
      </c>
      <c r="K30" s="26">
        <f t="shared" si="19"/>
        <v>0</v>
      </c>
      <c r="L30" s="26">
        <f t="shared" si="19"/>
        <v>0</v>
      </c>
      <c r="M30" s="26">
        <f t="shared" si="19"/>
        <v>0</v>
      </c>
      <c r="N30" s="26">
        <f>J20+J21</f>
        <v>0</v>
      </c>
    </row>
    <row r="31" spans="1:14" x14ac:dyDescent="0.25">
      <c r="A31" s="4"/>
      <c r="B31" s="4" t="s">
        <v>111</v>
      </c>
      <c r="C31" s="26"/>
      <c r="D31" s="26"/>
      <c r="E31" s="26"/>
      <c r="F31" s="26"/>
      <c r="G31" s="26"/>
      <c r="H31" s="26">
        <f>C22+C23+H11</f>
        <v>0</v>
      </c>
      <c r="I31" s="26">
        <f t="shared" ref="I31:N31" si="20">D22+D23</f>
        <v>0</v>
      </c>
      <c r="J31" s="26">
        <f t="shared" si="20"/>
        <v>0</v>
      </c>
      <c r="K31" s="26">
        <f t="shared" si="20"/>
        <v>0</v>
      </c>
      <c r="L31" s="26">
        <f t="shared" si="20"/>
        <v>0</v>
      </c>
      <c r="M31" s="26">
        <f t="shared" si="20"/>
        <v>0</v>
      </c>
      <c r="N31" s="26">
        <f t="shared" si="20"/>
        <v>0</v>
      </c>
    </row>
    <row r="32" spans="1:14" x14ac:dyDescent="0.25">
      <c r="A32" s="4"/>
      <c r="B32" s="4" t="s">
        <v>112</v>
      </c>
      <c r="C32" s="26"/>
      <c r="D32" s="26"/>
      <c r="E32" s="26"/>
      <c r="F32" s="26"/>
      <c r="G32" s="26"/>
      <c r="H32" s="26"/>
      <c r="I32" s="26">
        <f t="shared" ref="I32:N32" si="21">C24</f>
        <v>0</v>
      </c>
      <c r="J32" s="26">
        <f t="shared" si="21"/>
        <v>0</v>
      </c>
      <c r="K32" s="26">
        <f t="shared" si="21"/>
        <v>0</v>
      </c>
      <c r="L32" s="26">
        <f t="shared" si="21"/>
        <v>0</v>
      </c>
      <c r="M32" s="26">
        <f t="shared" si="21"/>
        <v>0</v>
      </c>
      <c r="N32" s="26">
        <f t="shared" si="21"/>
        <v>0</v>
      </c>
    </row>
    <row r="33" spans="1:14" x14ac:dyDescent="0.25">
      <c r="A33" s="24"/>
      <c r="B33" s="24" t="s">
        <v>115</v>
      </c>
      <c r="C33" s="46">
        <f>SUM(C26:C32)</f>
        <v>0</v>
      </c>
      <c r="D33" s="46">
        <f t="shared" ref="D33:N33" si="22">SUM(D26:D32)</f>
        <v>0</v>
      </c>
      <c r="E33" s="46">
        <f t="shared" si="22"/>
        <v>0</v>
      </c>
      <c r="F33" s="46">
        <f t="shared" si="22"/>
        <v>0</v>
      </c>
      <c r="G33" s="46">
        <f t="shared" si="22"/>
        <v>0</v>
      </c>
      <c r="H33" s="46">
        <f t="shared" si="22"/>
        <v>0</v>
      </c>
      <c r="I33" s="46">
        <f t="shared" si="22"/>
        <v>0</v>
      </c>
      <c r="J33" s="46">
        <f t="shared" si="22"/>
        <v>0</v>
      </c>
      <c r="K33" s="46">
        <f t="shared" si="22"/>
        <v>0</v>
      </c>
      <c r="L33" s="46">
        <f t="shared" si="22"/>
        <v>0</v>
      </c>
      <c r="M33" s="46">
        <f t="shared" si="22"/>
        <v>0</v>
      </c>
      <c r="N33" s="46">
        <f t="shared" si="22"/>
        <v>0</v>
      </c>
    </row>
  </sheetData>
  <sheetProtection algorithmName="SHA-512" hashValue="Yy+u6zkee/ZcQF9afC94ECd6lsupuXIKQaQrobX6kTkVopbQwqxBB6nsFixKPtV1TgOLLnC41zo1HS6Y4MTpBw==" saltValue="4nWXoR5fx0kx5SuxT01kEA==" spinCount="100000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152A1"/>
  </sheetPr>
  <dimension ref="A1:S56"/>
  <sheetViews>
    <sheetView showGridLines="0" showZeros="0" defaultGridColor="0" colorId="55" zoomScaleNormal="100" workbookViewId="0">
      <selection activeCell="B13" sqref="B13"/>
    </sheetView>
  </sheetViews>
  <sheetFormatPr defaultRowHeight="13.2" x14ac:dyDescent="0.25"/>
  <cols>
    <col min="1" max="1" width="10.5546875" customWidth="1"/>
    <col min="2" max="2" width="24.88671875" customWidth="1"/>
    <col min="3" max="3" width="9.5546875" customWidth="1"/>
    <col min="4" max="4" width="6.88671875" customWidth="1"/>
    <col min="5" max="5" width="6.109375" customWidth="1"/>
    <col min="6" max="7" width="9.5546875" customWidth="1"/>
    <col min="8" max="8" width="8.88671875" customWidth="1"/>
    <col min="9" max="10" width="9.5546875" customWidth="1"/>
    <col min="11" max="11" width="8.88671875" customWidth="1"/>
    <col min="12" max="13" width="9.5546875" customWidth="1"/>
    <col min="14" max="14" width="8.6640625" customWidth="1"/>
    <col min="15" max="16" width="9.5546875" customWidth="1"/>
    <col min="17" max="17" width="8.6640625" customWidth="1"/>
    <col min="18" max="18" width="4.33203125" customWidth="1"/>
  </cols>
  <sheetData>
    <row r="1" spans="1:19" ht="14.1" customHeight="1" x14ac:dyDescent="0.25">
      <c r="A1" s="342"/>
    </row>
    <row r="2" spans="1:19" ht="14.7" customHeight="1" x14ac:dyDescent="0.25">
      <c r="A2" s="343"/>
      <c r="B2" s="1960" t="s">
        <v>116</v>
      </c>
      <c r="C2" s="1960"/>
      <c r="D2" s="535"/>
      <c r="E2" s="86"/>
      <c r="F2" s="603" t="s">
        <v>117</v>
      </c>
      <c r="G2" s="85"/>
      <c r="H2" s="535"/>
      <c r="I2" s="535"/>
      <c r="J2" s="535"/>
      <c r="K2" s="535"/>
      <c r="L2" s="535"/>
      <c r="M2" s="535"/>
      <c r="N2" s="49" t="s">
        <v>3</v>
      </c>
      <c r="O2" s="535"/>
      <c r="P2" s="535"/>
      <c r="Q2" s="49" t="s">
        <v>3</v>
      </c>
    </row>
    <row r="3" spans="1:19" ht="6" customHeight="1" x14ac:dyDescent="0.25">
      <c r="A3" s="343"/>
      <c r="B3" s="1960"/>
      <c r="C3" s="1960"/>
      <c r="D3" s="535"/>
      <c r="E3" s="550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</row>
    <row r="4" spans="1:19" ht="4.2" customHeight="1" x14ac:dyDescent="0.25">
      <c r="A4" s="344"/>
      <c r="B4" s="535"/>
      <c r="C4" s="535"/>
      <c r="D4" s="535"/>
      <c r="E4" s="1841"/>
      <c r="F4" s="535"/>
      <c r="G4" s="535"/>
      <c r="H4" s="535"/>
      <c r="I4" s="535"/>
      <c r="J4" s="535"/>
      <c r="K4" s="535"/>
      <c r="L4" s="535"/>
      <c r="M4" s="535"/>
      <c r="N4" s="535"/>
      <c r="O4" s="535"/>
      <c r="P4" s="535"/>
      <c r="Q4" s="535"/>
    </row>
    <row r="5" spans="1:19" s="40" customFormat="1" ht="14.7" customHeight="1" x14ac:dyDescent="0.2">
      <c r="B5" s="34" t="s">
        <v>10</v>
      </c>
      <c r="C5" s="34"/>
      <c r="D5" s="34"/>
      <c r="E5" s="34"/>
      <c r="F5" s="1756" t="s">
        <v>11</v>
      </c>
      <c r="G5" s="1756"/>
      <c r="H5" s="34"/>
      <c r="I5" s="34"/>
      <c r="J5" s="34" t="s">
        <v>13</v>
      </c>
      <c r="K5" s="34"/>
      <c r="L5" s="34" t="s">
        <v>3</v>
      </c>
      <c r="M5" s="34"/>
      <c r="N5" s="34"/>
      <c r="O5" s="34" t="s">
        <v>8</v>
      </c>
      <c r="P5" s="34"/>
      <c r="Q5" s="34"/>
    </row>
    <row r="6" spans="1:19" x14ac:dyDescent="0.25">
      <c r="B6" s="1963">
        <f>'1. T1 INVESTOINTISUUN.'!B7:E7</f>
        <v>0</v>
      </c>
      <c r="C6" s="1963"/>
      <c r="D6" s="1963"/>
      <c r="E6" s="537"/>
      <c r="F6" s="1755">
        <f>'1. T1 INVESTOINTISUUN.'!F7</f>
        <v>0</v>
      </c>
      <c r="G6" s="1755"/>
      <c r="H6" s="853"/>
      <c r="I6" s="853"/>
      <c r="J6" s="1963">
        <f>'1. T1 INVESTOINTISUUN.'!B9</f>
        <v>0</v>
      </c>
      <c r="K6" s="1963"/>
      <c r="L6" s="1963"/>
      <c r="M6" s="1963"/>
      <c r="N6" s="853"/>
      <c r="O6" s="1966">
        <f>'1. T1 INVESTOINTISUUN.'!F4</f>
        <v>0</v>
      </c>
      <c r="P6" s="1966"/>
      <c r="Q6" s="854"/>
    </row>
    <row r="7" spans="1:19" ht="9" customHeight="1" thickBot="1" x14ac:dyDescent="0.3">
      <c r="B7" s="1842"/>
      <c r="C7" s="1842"/>
      <c r="D7" s="1842"/>
      <c r="E7" s="1842"/>
      <c r="F7" s="1842"/>
      <c r="G7" s="1842"/>
      <c r="H7" s="1842"/>
      <c r="I7" s="1842"/>
      <c r="J7" s="1842"/>
      <c r="K7" s="1842"/>
      <c r="L7" s="1842"/>
      <c r="M7" s="1842"/>
      <c r="N7" s="1842"/>
      <c r="O7" s="1842"/>
      <c r="P7" s="1842"/>
      <c r="Q7" s="1842"/>
    </row>
    <row r="8" spans="1:19" s="41" customFormat="1" ht="13.35" customHeight="1" thickBot="1" x14ac:dyDescent="0.3">
      <c r="A8"/>
      <c r="B8" s="1955" t="s">
        <v>118</v>
      </c>
      <c r="C8" s="1946" t="s">
        <v>119</v>
      </c>
      <c r="D8" s="1949" t="s">
        <v>120</v>
      </c>
      <c r="E8" s="1952" t="s">
        <v>62</v>
      </c>
      <c r="F8" s="1957" t="s">
        <v>121</v>
      </c>
      <c r="G8" s="1958"/>
      <c r="H8" s="1958"/>
      <c r="I8" s="1958"/>
      <c r="J8" s="1958"/>
      <c r="K8" s="1958"/>
      <c r="L8" s="1958"/>
      <c r="M8" s="1958"/>
      <c r="N8" s="1958"/>
      <c r="O8" s="1958"/>
      <c r="P8" s="1958"/>
      <c r="Q8" s="1959"/>
    </row>
    <row r="9" spans="1:19" s="41" customFormat="1" ht="12.75" customHeight="1" x14ac:dyDescent="0.25">
      <c r="B9" s="1956"/>
      <c r="C9" s="1947"/>
      <c r="D9" s="1950"/>
      <c r="E9" s="1953"/>
      <c r="F9" s="1945" t="str">
        <f>'1. T1 INVESTOINTISUUN.'!E15</f>
        <v>Ennuste 1</v>
      </c>
      <c r="G9" s="1943"/>
      <c r="H9" s="1943"/>
      <c r="I9" s="1945" t="str">
        <f>'1. T1 INVESTOINTISUUN.'!F15</f>
        <v>Ennuste 2</v>
      </c>
      <c r="J9" s="1943"/>
      <c r="K9" s="1943"/>
      <c r="L9" s="1945" t="str">
        <f>'1. T1 INVESTOINTISUUN.'!G15</f>
        <v>Ennuste 3</v>
      </c>
      <c r="M9" s="1943"/>
      <c r="N9" s="1944"/>
      <c r="O9" s="1943" t="s">
        <v>22</v>
      </c>
      <c r="P9" s="1943"/>
      <c r="Q9" s="1944"/>
    </row>
    <row r="10" spans="1:19" s="41" customFormat="1" ht="12.75" customHeight="1" thickBot="1" x14ac:dyDescent="0.3">
      <c r="B10" s="1312" t="s">
        <v>122</v>
      </c>
      <c r="C10" s="1947"/>
      <c r="D10" s="1950"/>
      <c r="E10" s="1953"/>
      <c r="F10" s="1961">
        <f>'1. T1 INVESTOINTISUUN.'!E16</f>
        <v>2024</v>
      </c>
      <c r="G10" s="1962"/>
      <c r="H10" s="1962"/>
      <c r="I10" s="1961">
        <f>'1. T1 INVESTOINTISUUN.'!F16</f>
        <v>2025</v>
      </c>
      <c r="J10" s="1962"/>
      <c r="K10" s="1962"/>
      <c r="L10" s="1961">
        <f>'1. T1 INVESTOINTISUUN.'!G16</f>
        <v>2026</v>
      </c>
      <c r="M10" s="1962"/>
      <c r="N10" s="1965"/>
      <c r="O10" s="1964">
        <f>'1. T1 INVESTOINTISUUN.'!H16</f>
        <v>2027</v>
      </c>
      <c r="P10" s="1962"/>
      <c r="Q10" s="1965"/>
    </row>
    <row r="11" spans="1:19" s="41" customFormat="1" ht="3" hidden="1" customHeight="1" thickBot="1" x14ac:dyDescent="0.3">
      <c r="B11" s="855"/>
      <c r="C11" s="1948"/>
      <c r="D11" s="1951"/>
      <c r="E11" s="1954"/>
      <c r="F11" s="368"/>
      <c r="G11" s="366"/>
      <c r="H11" s="369"/>
      <c r="I11" s="365"/>
      <c r="J11" s="366"/>
      <c r="K11" s="369"/>
      <c r="L11" s="365"/>
      <c r="M11" s="366"/>
      <c r="N11" s="369"/>
      <c r="O11" s="365"/>
      <c r="P11" s="366"/>
      <c r="Q11" s="367"/>
    </row>
    <row r="12" spans="1:19" s="41" customFormat="1" ht="12.75" customHeight="1" x14ac:dyDescent="0.25">
      <c r="B12" s="1308" t="s">
        <v>123</v>
      </c>
      <c r="C12" s="1309"/>
      <c r="D12" s="1310"/>
      <c r="E12" s="1310"/>
      <c r="F12" s="1311" t="s">
        <v>124</v>
      </c>
      <c r="G12" s="1311" t="s">
        <v>125</v>
      </c>
      <c r="H12" s="1311" t="s">
        <v>126</v>
      </c>
      <c r="I12" s="1311" t="s">
        <v>124</v>
      </c>
      <c r="J12" s="1311" t="s">
        <v>125</v>
      </c>
      <c r="K12" s="1311" t="s">
        <v>126</v>
      </c>
      <c r="L12" s="1311" t="s">
        <v>124</v>
      </c>
      <c r="M12" s="1311" t="s">
        <v>125</v>
      </c>
      <c r="N12" s="1311" t="s">
        <v>126</v>
      </c>
      <c r="O12" s="1311" t="s">
        <v>124</v>
      </c>
      <c r="P12" s="1311" t="s">
        <v>125</v>
      </c>
      <c r="Q12" s="1311" t="s">
        <v>126</v>
      </c>
    </row>
    <row r="13" spans="1:19" s="41" customFormat="1" ht="12.75" customHeight="1" x14ac:dyDescent="0.25">
      <c r="B13" s="704" t="s">
        <v>127</v>
      </c>
      <c r="C13" s="616">
        <v>0</v>
      </c>
      <c r="D13" s="357">
        <v>0</v>
      </c>
      <c r="E13" s="914">
        <v>0</v>
      </c>
      <c r="F13" s="915">
        <f>C13</f>
        <v>0</v>
      </c>
      <c r="G13" s="916">
        <v>0</v>
      </c>
      <c r="H13" s="1764">
        <f>'AT2 Lainat, alv'!P8</f>
        <v>0</v>
      </c>
      <c r="I13" s="892">
        <v>0</v>
      </c>
      <c r="J13" s="916">
        <f>G13</f>
        <v>0</v>
      </c>
      <c r="K13" s="1764">
        <f>'AT2 Lainat, alv'!V8</f>
        <v>0</v>
      </c>
      <c r="L13" s="892">
        <v>0</v>
      </c>
      <c r="M13" s="916">
        <f t="shared" ref="M13:M20" si="0">J13</f>
        <v>0</v>
      </c>
      <c r="N13" s="617">
        <f>'AT2 Lainat, alv'!AB8</f>
        <v>0</v>
      </c>
      <c r="O13" s="892">
        <v>0</v>
      </c>
      <c r="P13" s="916">
        <f>M13</f>
        <v>0</v>
      </c>
      <c r="Q13" s="617">
        <f>'AT2 Lainat, alv'!AH8</f>
        <v>0</v>
      </c>
      <c r="S13" s="88"/>
    </row>
    <row r="14" spans="1:19" s="41" customFormat="1" ht="12.75" customHeight="1" x14ac:dyDescent="0.25">
      <c r="B14" s="704">
        <v>0</v>
      </c>
      <c r="C14" s="616">
        <v>0</v>
      </c>
      <c r="D14" s="357">
        <v>0</v>
      </c>
      <c r="E14" s="914">
        <v>0</v>
      </c>
      <c r="F14" s="915">
        <f>C14</f>
        <v>0</v>
      </c>
      <c r="G14" s="916">
        <v>0</v>
      </c>
      <c r="H14" s="1764">
        <f>'AT2 Lainat, alv'!P9</f>
        <v>0</v>
      </c>
      <c r="I14" s="892"/>
      <c r="J14" s="916">
        <f>G14</f>
        <v>0</v>
      </c>
      <c r="K14" s="1764">
        <f>'AT2 Lainat, alv'!V9</f>
        <v>0</v>
      </c>
      <c r="L14" s="892"/>
      <c r="M14" s="916">
        <f t="shared" si="0"/>
        <v>0</v>
      </c>
      <c r="N14" s="617">
        <f>'AT2 Lainat, alv'!AB9</f>
        <v>0</v>
      </c>
      <c r="O14" s="892"/>
      <c r="P14" s="916">
        <f t="shared" ref="P14:P25" si="1">M14</f>
        <v>0</v>
      </c>
      <c r="Q14" s="617">
        <f>'AT2 Lainat, alv'!AH9</f>
        <v>0</v>
      </c>
      <c r="S14" s="88"/>
    </row>
    <row r="15" spans="1:19" s="41" customFormat="1" ht="12.75" customHeight="1" x14ac:dyDescent="0.25">
      <c r="B15" s="704">
        <v>0</v>
      </c>
      <c r="C15" s="616">
        <v>0</v>
      </c>
      <c r="D15" s="357">
        <v>0</v>
      </c>
      <c r="E15" s="914">
        <v>0</v>
      </c>
      <c r="F15" s="915">
        <f>C15</f>
        <v>0</v>
      </c>
      <c r="G15" s="916">
        <v>0</v>
      </c>
      <c r="H15" s="1764">
        <f>'AT2 Lainat, alv'!P10</f>
        <v>0</v>
      </c>
      <c r="I15" s="892"/>
      <c r="J15" s="916">
        <f>G15</f>
        <v>0</v>
      </c>
      <c r="K15" s="1764">
        <f>'AT2 Lainat, alv'!V10</f>
        <v>0</v>
      </c>
      <c r="L15" s="892"/>
      <c r="M15" s="916">
        <f t="shared" si="0"/>
        <v>0</v>
      </c>
      <c r="N15" s="617">
        <f>'AT2 Lainat, alv'!AB10</f>
        <v>0</v>
      </c>
      <c r="O15" s="892"/>
      <c r="P15" s="916">
        <f t="shared" si="1"/>
        <v>0</v>
      </c>
      <c r="Q15" s="617">
        <f>'AT2 Lainat, alv'!AH10</f>
        <v>0</v>
      </c>
      <c r="S15" s="88"/>
    </row>
    <row r="16" spans="1:19" s="41" customFormat="1" ht="12.75" customHeight="1" thickBot="1" x14ac:dyDescent="0.3">
      <c r="B16" s="750">
        <v>0</v>
      </c>
      <c r="C16" s="917">
        <v>0</v>
      </c>
      <c r="D16" s="570">
        <v>0</v>
      </c>
      <c r="E16" s="918">
        <v>0</v>
      </c>
      <c r="F16" s="919">
        <f>C16</f>
        <v>0</v>
      </c>
      <c r="G16" s="920">
        <v>0</v>
      </c>
      <c r="H16" s="921">
        <f>'AT2 Lainat, alv'!P11</f>
        <v>0</v>
      </c>
      <c r="I16" s="922"/>
      <c r="J16" s="920">
        <f>G16</f>
        <v>0</v>
      </c>
      <c r="K16" s="921">
        <f>'AT2 Lainat, alv'!V11</f>
        <v>0</v>
      </c>
      <c r="L16" s="922"/>
      <c r="M16" s="920">
        <f t="shared" si="0"/>
        <v>0</v>
      </c>
      <c r="N16" s="864">
        <f>'AT2 Lainat, alv'!AB11</f>
        <v>0</v>
      </c>
      <c r="O16" s="922"/>
      <c r="P16" s="920">
        <f t="shared" si="1"/>
        <v>0</v>
      </c>
      <c r="Q16" s="864">
        <f>'AT2 Lainat, alv'!AH11</f>
        <v>0</v>
      </c>
      <c r="S16" s="88"/>
    </row>
    <row r="17" spans="2:19" s="41" customFormat="1" ht="16.2" customHeight="1" x14ac:dyDescent="0.25">
      <c r="B17" s="1308" t="s">
        <v>128</v>
      </c>
      <c r="C17" s="1309"/>
      <c r="D17" s="1310"/>
      <c r="E17" s="1310"/>
      <c r="F17" s="1311" t="s">
        <v>124</v>
      </c>
      <c r="G17" s="1311" t="s">
        <v>125</v>
      </c>
      <c r="H17" s="1311" t="s">
        <v>126</v>
      </c>
      <c r="I17" s="1311" t="s">
        <v>124</v>
      </c>
      <c r="J17" s="1311" t="s">
        <v>125</v>
      </c>
      <c r="K17" s="1311" t="s">
        <v>126</v>
      </c>
      <c r="L17" s="1311" t="s">
        <v>124</v>
      </c>
      <c r="M17" s="1311" t="s">
        <v>125</v>
      </c>
      <c r="N17" s="1311" t="s">
        <v>126</v>
      </c>
      <c r="O17" s="1311" t="s">
        <v>124</v>
      </c>
      <c r="P17" s="1311" t="s">
        <v>125</v>
      </c>
      <c r="Q17" s="1311" t="s">
        <v>126</v>
      </c>
    </row>
    <row r="18" spans="2:19" s="41" customFormat="1" ht="12.75" customHeight="1" x14ac:dyDescent="0.25">
      <c r="B18" s="569">
        <v>0</v>
      </c>
      <c r="C18" s="616">
        <v>0</v>
      </c>
      <c r="D18" s="357">
        <v>0</v>
      </c>
      <c r="E18" s="914">
        <v>0</v>
      </c>
      <c r="F18" s="892"/>
      <c r="G18" s="888"/>
      <c r="H18" s="1764"/>
      <c r="I18" s="915">
        <f>C18</f>
        <v>0</v>
      </c>
      <c r="J18" s="916">
        <v>0</v>
      </c>
      <c r="K18" s="1764">
        <f>'AT2 Lainat, alv'!V12</f>
        <v>0</v>
      </c>
      <c r="L18" s="892"/>
      <c r="M18" s="916">
        <f t="shared" si="0"/>
        <v>0</v>
      </c>
      <c r="N18" s="617">
        <f>'AT2 Lainat, alv'!AB12</f>
        <v>0</v>
      </c>
      <c r="O18" s="892"/>
      <c r="P18" s="916">
        <f t="shared" si="1"/>
        <v>0</v>
      </c>
      <c r="Q18" s="617">
        <f>'AT2 Lainat, alv'!AH12</f>
        <v>0</v>
      </c>
      <c r="S18" s="88"/>
    </row>
    <row r="19" spans="2:19" s="41" customFormat="1" ht="12.75" customHeight="1" x14ac:dyDescent="0.25">
      <c r="B19" s="358">
        <v>0</v>
      </c>
      <c r="C19" s="616">
        <v>0</v>
      </c>
      <c r="D19" s="357">
        <v>0</v>
      </c>
      <c r="E19" s="914">
        <v>0</v>
      </c>
      <c r="F19" s="892"/>
      <c r="G19" s="888"/>
      <c r="H19" s="1764"/>
      <c r="I19" s="915">
        <f>C19</f>
        <v>0</v>
      </c>
      <c r="J19" s="916">
        <v>0</v>
      </c>
      <c r="K19" s="1764">
        <f>'AT2 Lainat, alv'!V13</f>
        <v>0</v>
      </c>
      <c r="L19" s="892"/>
      <c r="M19" s="916">
        <f t="shared" si="0"/>
        <v>0</v>
      </c>
      <c r="N19" s="617">
        <f>'AT2 Lainat, alv'!AB13</f>
        <v>0</v>
      </c>
      <c r="O19" s="892"/>
      <c r="P19" s="916">
        <f t="shared" si="1"/>
        <v>0</v>
      </c>
      <c r="Q19" s="617">
        <f>'AT2 Lainat, alv'!AH13</f>
        <v>0</v>
      </c>
      <c r="S19" s="88"/>
    </row>
    <row r="20" spans="2:19" s="41" customFormat="1" ht="12.75" customHeight="1" x14ac:dyDescent="0.25">
      <c r="B20" s="358">
        <v>0</v>
      </c>
      <c r="C20" s="616">
        <v>0</v>
      </c>
      <c r="D20" s="357">
        <v>0</v>
      </c>
      <c r="E20" s="914">
        <v>0</v>
      </c>
      <c r="F20" s="892"/>
      <c r="G20" s="888"/>
      <c r="H20" s="1764"/>
      <c r="I20" s="915">
        <f>C20</f>
        <v>0</v>
      </c>
      <c r="J20" s="916">
        <v>0</v>
      </c>
      <c r="K20" s="1764">
        <f>'AT2 Lainat, alv'!V14</f>
        <v>0</v>
      </c>
      <c r="L20" s="892"/>
      <c r="M20" s="916">
        <f t="shared" si="0"/>
        <v>0</v>
      </c>
      <c r="N20" s="617">
        <f>'AT2 Lainat, alv'!AB14</f>
        <v>0</v>
      </c>
      <c r="O20" s="892"/>
      <c r="P20" s="916">
        <f t="shared" si="1"/>
        <v>0</v>
      </c>
      <c r="Q20" s="617">
        <f>'AT2 Lainat, alv'!AH14</f>
        <v>0</v>
      </c>
      <c r="S20" s="88"/>
    </row>
    <row r="21" spans="2:19" s="41" customFormat="1" ht="12.75" customHeight="1" thickBot="1" x14ac:dyDescent="0.3">
      <c r="B21" s="571">
        <v>0</v>
      </c>
      <c r="C21" s="917">
        <v>0</v>
      </c>
      <c r="D21" s="570">
        <v>0</v>
      </c>
      <c r="E21" s="918">
        <v>0</v>
      </c>
      <c r="F21" s="922"/>
      <c r="G21" s="923"/>
      <c r="H21" s="921"/>
      <c r="I21" s="919">
        <f>C21</f>
        <v>0</v>
      </c>
      <c r="J21" s="920">
        <v>0</v>
      </c>
      <c r="K21" s="921">
        <f>'AT2 Lainat, alv'!V15</f>
        <v>0</v>
      </c>
      <c r="L21" s="922"/>
      <c r="M21" s="920">
        <f>J21</f>
        <v>0</v>
      </c>
      <c r="N21" s="864">
        <f>'AT2 Lainat, alv'!AB15</f>
        <v>0</v>
      </c>
      <c r="O21" s="922"/>
      <c r="P21" s="920">
        <f>M21</f>
        <v>0</v>
      </c>
      <c r="Q21" s="864">
        <f>'AT2 Lainat, alv'!AH15</f>
        <v>0</v>
      </c>
      <c r="S21" s="88"/>
    </row>
    <row r="22" spans="2:19" s="41" customFormat="1" ht="16.2" customHeight="1" x14ac:dyDescent="0.25">
      <c r="B22" s="1308" t="s">
        <v>129</v>
      </c>
      <c r="C22" s="1309"/>
      <c r="D22" s="1310"/>
      <c r="E22" s="1310"/>
      <c r="F22" s="1311" t="s">
        <v>124</v>
      </c>
      <c r="G22" s="1311" t="s">
        <v>125</v>
      </c>
      <c r="H22" s="1311" t="s">
        <v>126</v>
      </c>
      <c r="I22" s="1311" t="s">
        <v>124</v>
      </c>
      <c r="J22" s="1311" t="s">
        <v>125</v>
      </c>
      <c r="K22" s="1311" t="s">
        <v>126</v>
      </c>
      <c r="L22" s="1311" t="s">
        <v>124</v>
      </c>
      <c r="M22" s="1311" t="s">
        <v>125</v>
      </c>
      <c r="N22" s="1311" t="s">
        <v>126</v>
      </c>
      <c r="O22" s="1311" t="s">
        <v>124</v>
      </c>
      <c r="P22" s="1311" t="s">
        <v>125</v>
      </c>
      <c r="Q22" s="1311" t="s">
        <v>126</v>
      </c>
    </row>
    <row r="23" spans="2:19" s="41" customFormat="1" ht="12.75" customHeight="1" x14ac:dyDescent="0.25">
      <c r="B23" s="569">
        <v>0</v>
      </c>
      <c r="C23" s="616">
        <v>0</v>
      </c>
      <c r="D23" s="357">
        <v>0</v>
      </c>
      <c r="E23" s="914">
        <v>0</v>
      </c>
      <c r="F23" s="892"/>
      <c r="G23" s="888"/>
      <c r="H23" s="1764"/>
      <c r="I23" s="892">
        <v>0</v>
      </c>
      <c r="J23" s="888"/>
      <c r="K23" s="1764"/>
      <c r="L23" s="915">
        <f>C23</f>
        <v>0</v>
      </c>
      <c r="M23" s="916">
        <v>0</v>
      </c>
      <c r="N23" s="617">
        <f>'AT2 Lainat, alv'!AB16</f>
        <v>0</v>
      </c>
      <c r="O23" s="892"/>
      <c r="P23" s="916">
        <f t="shared" si="1"/>
        <v>0</v>
      </c>
      <c r="Q23" s="617">
        <f>'AT2 Lainat, alv'!AH16</f>
        <v>0</v>
      </c>
      <c r="S23" s="88"/>
    </row>
    <row r="24" spans="2:19" s="41" customFormat="1" ht="12.75" customHeight="1" x14ac:dyDescent="0.25">
      <c r="B24" s="704">
        <v>0</v>
      </c>
      <c r="C24" s="616">
        <v>0</v>
      </c>
      <c r="D24" s="357">
        <v>0</v>
      </c>
      <c r="E24" s="914">
        <v>0</v>
      </c>
      <c r="F24" s="892"/>
      <c r="G24" s="888"/>
      <c r="H24" s="1764"/>
      <c r="I24" s="892"/>
      <c r="J24" s="888"/>
      <c r="K24" s="1764"/>
      <c r="L24" s="915">
        <f>C24</f>
        <v>0</v>
      </c>
      <c r="M24" s="916">
        <v>0</v>
      </c>
      <c r="N24" s="617">
        <f>'AT2 Lainat, alv'!AB17</f>
        <v>0</v>
      </c>
      <c r="O24" s="892"/>
      <c r="P24" s="916">
        <f t="shared" si="1"/>
        <v>0</v>
      </c>
      <c r="Q24" s="617">
        <f>'AT2 Lainat, alv'!AH17</f>
        <v>0</v>
      </c>
      <c r="S24" s="88"/>
    </row>
    <row r="25" spans="2:19" s="41" customFormat="1" ht="12.75" customHeight="1" x14ac:dyDescent="0.25">
      <c r="B25" s="704">
        <v>0</v>
      </c>
      <c r="C25" s="616">
        <v>0</v>
      </c>
      <c r="D25" s="357">
        <v>0</v>
      </c>
      <c r="E25" s="914">
        <v>0</v>
      </c>
      <c r="F25" s="892">
        <v>0</v>
      </c>
      <c r="G25" s="924"/>
      <c r="H25" s="925"/>
      <c r="I25" s="892"/>
      <c r="J25" s="888"/>
      <c r="K25" s="1764"/>
      <c r="L25" s="915">
        <f>C25</f>
        <v>0</v>
      </c>
      <c r="M25" s="916">
        <v>0</v>
      </c>
      <c r="N25" s="617">
        <f>'AT2 Lainat, alv'!AB18</f>
        <v>0</v>
      </c>
      <c r="O25" s="892">
        <v>0</v>
      </c>
      <c r="P25" s="916">
        <f t="shared" si="1"/>
        <v>0</v>
      </c>
      <c r="Q25" s="617">
        <f>'AT2 Lainat, alv'!AH18</f>
        <v>0</v>
      </c>
      <c r="S25" s="88"/>
    </row>
    <row r="26" spans="2:19" s="41" customFormat="1" ht="12.75" customHeight="1" thickBot="1" x14ac:dyDescent="0.3">
      <c r="B26" s="750">
        <v>0</v>
      </c>
      <c r="C26" s="917">
        <v>0</v>
      </c>
      <c r="D26" s="570">
        <v>0</v>
      </c>
      <c r="E26" s="918">
        <v>0</v>
      </c>
      <c r="F26" s="922"/>
      <c r="G26" s="926"/>
      <c r="H26" s="927"/>
      <c r="I26" s="922"/>
      <c r="J26" s="923"/>
      <c r="K26" s="921"/>
      <c r="L26" s="919">
        <f>C26</f>
        <v>0</v>
      </c>
      <c r="M26" s="920">
        <v>0</v>
      </c>
      <c r="N26" s="864">
        <f>'AT2 Lainat, alv'!AB19</f>
        <v>0</v>
      </c>
      <c r="O26" s="922"/>
      <c r="P26" s="920">
        <f>M26</f>
        <v>0</v>
      </c>
      <c r="Q26" s="864">
        <f>'AT2 Lainat, alv'!AH19</f>
        <v>0</v>
      </c>
      <c r="S26" s="88"/>
    </row>
    <row r="27" spans="2:19" s="41" customFormat="1" ht="16.2" customHeight="1" x14ac:dyDescent="0.25">
      <c r="B27" s="1308" t="s">
        <v>130</v>
      </c>
      <c r="C27" s="1309"/>
      <c r="D27" s="1310"/>
      <c r="E27" s="1310"/>
      <c r="F27" s="1311" t="s">
        <v>124</v>
      </c>
      <c r="G27" s="1311" t="s">
        <v>125</v>
      </c>
      <c r="H27" s="1311" t="s">
        <v>126</v>
      </c>
      <c r="I27" s="1311" t="s">
        <v>124</v>
      </c>
      <c r="J27" s="1311" t="s">
        <v>125</v>
      </c>
      <c r="K27" s="1311" t="s">
        <v>126</v>
      </c>
      <c r="L27" s="1311" t="s">
        <v>124</v>
      </c>
      <c r="M27" s="1311" t="s">
        <v>125</v>
      </c>
      <c r="N27" s="1311" t="s">
        <v>126</v>
      </c>
      <c r="O27" s="1311" t="s">
        <v>124</v>
      </c>
      <c r="P27" s="1311" t="s">
        <v>125</v>
      </c>
      <c r="Q27" s="1311" t="s">
        <v>126</v>
      </c>
    </row>
    <row r="28" spans="2:19" s="41" customFormat="1" ht="12.75" customHeight="1" x14ac:dyDescent="0.25">
      <c r="B28" s="569">
        <v>0</v>
      </c>
      <c r="C28" s="616">
        <v>0</v>
      </c>
      <c r="D28" s="357">
        <v>0</v>
      </c>
      <c r="E28" s="914">
        <v>0</v>
      </c>
      <c r="F28" s="892">
        <v>0</v>
      </c>
      <c r="G28" s="924"/>
      <c r="H28" s="925"/>
      <c r="I28" s="892">
        <v>0</v>
      </c>
      <c r="J28" s="924">
        <v>0</v>
      </c>
      <c r="K28" s="1764"/>
      <c r="L28" s="892">
        <v>0</v>
      </c>
      <c r="M28" s="888"/>
      <c r="N28" s="617"/>
      <c r="O28" s="915">
        <f>C28</f>
        <v>0</v>
      </c>
      <c r="P28" s="916">
        <v>0</v>
      </c>
      <c r="Q28" s="617">
        <f>'AT2 Lainat, alv'!AH20</f>
        <v>0</v>
      </c>
      <c r="S28" s="88"/>
    </row>
    <row r="29" spans="2:19" s="41" customFormat="1" ht="12.75" customHeight="1" x14ac:dyDescent="0.25">
      <c r="B29" s="704">
        <v>0</v>
      </c>
      <c r="C29" s="616">
        <v>0</v>
      </c>
      <c r="D29" s="357">
        <v>0</v>
      </c>
      <c r="E29" s="914">
        <v>0</v>
      </c>
      <c r="F29" s="892"/>
      <c r="G29" s="924"/>
      <c r="H29" s="925"/>
      <c r="I29" s="892"/>
      <c r="J29" s="924"/>
      <c r="K29" s="1764"/>
      <c r="L29" s="892"/>
      <c r="M29" s="888"/>
      <c r="N29" s="617"/>
      <c r="O29" s="893">
        <f>C29</f>
        <v>0</v>
      </c>
      <c r="P29" s="916">
        <v>0</v>
      </c>
      <c r="Q29" s="617">
        <f>'AT2 Lainat, alv'!AH21</f>
        <v>0</v>
      </c>
      <c r="S29" s="88"/>
    </row>
    <row r="30" spans="2:19" s="41" customFormat="1" ht="12.75" customHeight="1" x14ac:dyDescent="0.25">
      <c r="B30" s="704">
        <v>0</v>
      </c>
      <c r="C30" s="616">
        <v>0</v>
      </c>
      <c r="D30" s="357">
        <v>0</v>
      </c>
      <c r="E30" s="914">
        <v>0</v>
      </c>
      <c r="F30" s="928"/>
      <c r="G30" s="154"/>
      <c r="H30" s="929"/>
      <c r="I30" s="928"/>
      <c r="J30" s="154"/>
      <c r="K30" s="930"/>
      <c r="L30" s="928"/>
      <c r="M30" s="1810"/>
      <c r="N30" s="931"/>
      <c r="O30" s="893">
        <f>C30</f>
        <v>0</v>
      </c>
      <c r="P30" s="932">
        <v>0</v>
      </c>
      <c r="Q30" s="617">
        <f>'AT2 Lainat, alv'!AH22</f>
        <v>0</v>
      </c>
      <c r="S30" s="88"/>
    </row>
    <row r="31" spans="2:19" s="41" customFormat="1" ht="12.75" customHeight="1" thickBot="1" x14ac:dyDescent="0.3">
      <c r="B31" s="399">
        <v>0</v>
      </c>
      <c r="C31" s="933">
        <v>0</v>
      </c>
      <c r="D31" s="359">
        <v>0</v>
      </c>
      <c r="E31" s="934">
        <v>0</v>
      </c>
      <c r="F31" s="935">
        <v>0</v>
      </c>
      <c r="G31" s="936"/>
      <c r="H31" s="937"/>
      <c r="I31" s="935">
        <v>0</v>
      </c>
      <c r="J31" s="936"/>
      <c r="K31" s="938"/>
      <c r="L31" s="935">
        <v>0</v>
      </c>
      <c r="M31" s="936"/>
      <c r="N31" s="939"/>
      <c r="O31" s="940">
        <f>C31</f>
        <v>0</v>
      </c>
      <c r="P31" s="941">
        <v>0</v>
      </c>
      <c r="Q31" s="939">
        <f>'AT2 Lainat, alv'!AH23</f>
        <v>0</v>
      </c>
      <c r="S31" s="88"/>
    </row>
    <row r="32" spans="2:19" s="41" customFormat="1" ht="17.100000000000001" customHeight="1" thickTop="1" thickBot="1" x14ac:dyDescent="0.3">
      <c r="B32" s="360" t="s">
        <v>131</v>
      </c>
      <c r="C32" s="942">
        <f>SUM(C13:C31)</f>
        <v>0</v>
      </c>
      <c r="D32" s="943"/>
      <c r="E32" s="943"/>
      <c r="F32" s="944">
        <f t="shared" ref="F32:Q32" si="2">SUM(F13:F31)</f>
        <v>0</v>
      </c>
      <c r="G32" s="942">
        <f t="shared" si="2"/>
        <v>0</v>
      </c>
      <c r="H32" s="945">
        <f t="shared" si="2"/>
        <v>0</v>
      </c>
      <c r="I32" s="944">
        <f t="shared" si="2"/>
        <v>0</v>
      </c>
      <c r="J32" s="945">
        <f t="shared" si="2"/>
        <v>0</v>
      </c>
      <c r="K32" s="946">
        <f t="shared" si="2"/>
        <v>0</v>
      </c>
      <c r="L32" s="944">
        <f t="shared" si="2"/>
        <v>0</v>
      </c>
      <c r="M32" s="942">
        <f t="shared" si="2"/>
        <v>0</v>
      </c>
      <c r="N32" s="947">
        <f t="shared" si="2"/>
        <v>0</v>
      </c>
      <c r="O32" s="948">
        <f t="shared" si="2"/>
        <v>0</v>
      </c>
      <c r="P32" s="942">
        <f>SUM(P13:P31)</f>
        <v>0</v>
      </c>
      <c r="Q32" s="947">
        <f t="shared" si="2"/>
        <v>0</v>
      </c>
    </row>
    <row r="33" spans="1:19" s="41" customFormat="1" ht="3" customHeight="1" thickBot="1" x14ac:dyDescent="0.3">
      <c r="B33" s="178"/>
      <c r="C33" s="949"/>
      <c r="D33" s="950"/>
      <c r="E33" s="950"/>
      <c r="F33" s="949"/>
      <c r="G33" s="949"/>
      <c r="H33" s="949"/>
      <c r="I33" s="949"/>
      <c r="J33" s="949"/>
      <c r="K33" s="949"/>
      <c r="L33" s="949"/>
      <c r="M33" s="949"/>
      <c r="N33" s="949"/>
      <c r="O33" s="949"/>
      <c r="P33" s="949"/>
      <c r="Q33" s="949"/>
    </row>
    <row r="34" spans="1:19" s="41" customFormat="1" ht="12.75" customHeight="1" x14ac:dyDescent="0.25">
      <c r="B34" s="704" t="s">
        <v>132</v>
      </c>
      <c r="C34" s="616">
        <v>0</v>
      </c>
      <c r="D34" s="357">
        <v>0</v>
      </c>
      <c r="E34" s="914">
        <v>0</v>
      </c>
      <c r="F34" s="915">
        <f>C34</f>
        <v>0</v>
      </c>
      <c r="G34" s="888">
        <f>'AT2 Lainat, alv'!M29</f>
        <v>0</v>
      </c>
      <c r="H34" s="1764">
        <f>'AT2 Lainat, alv'!P29</f>
        <v>0</v>
      </c>
      <c r="I34" s="951"/>
      <c r="J34" s="952">
        <f>'AT2 Lainat, alv'!S29</f>
        <v>0</v>
      </c>
      <c r="K34" s="953">
        <f>'AT2 Lainat, alv'!V29</f>
        <v>0</v>
      </c>
      <c r="L34" s="954"/>
      <c r="M34" s="952">
        <f>'AT2 Lainat, alv'!Y29</f>
        <v>0</v>
      </c>
      <c r="N34" s="617">
        <f>'AT2 Lainat, alv'!AB29</f>
        <v>0</v>
      </c>
      <c r="O34" s="955"/>
      <c r="P34" s="952">
        <f>'AT2 Lainat, alv'!AE29</f>
        <v>0</v>
      </c>
      <c r="Q34" s="617">
        <f>'AT2 Lainat, alv'!AH29</f>
        <v>0</v>
      </c>
      <c r="S34" s="88"/>
    </row>
    <row r="35" spans="1:19" s="41" customFormat="1" ht="12.75" customHeight="1" x14ac:dyDescent="0.25">
      <c r="B35" s="361">
        <v>0</v>
      </c>
      <c r="C35" s="609">
        <v>0</v>
      </c>
      <c r="D35" s="355">
        <v>0</v>
      </c>
      <c r="E35" s="956">
        <v>0</v>
      </c>
      <c r="F35" s="957"/>
      <c r="G35" s="958"/>
      <c r="H35" s="959"/>
      <c r="I35" s="915">
        <f>C35</f>
        <v>0</v>
      </c>
      <c r="J35" s="952">
        <f>'AT2 Lainat, alv'!S32</f>
        <v>0</v>
      </c>
      <c r="K35" s="617">
        <f>'AT2 Lainat, alv'!V32</f>
        <v>0</v>
      </c>
      <c r="L35" s="954">
        <v>0</v>
      </c>
      <c r="M35" s="952">
        <f>'AT2 Lainat, alv'!Y32</f>
        <v>0</v>
      </c>
      <c r="N35" s="617">
        <f>'AT2 Lainat, alv'!AB32</f>
        <v>0</v>
      </c>
      <c r="O35" s="955">
        <v>0</v>
      </c>
      <c r="P35" s="952">
        <f>IF(I35=0,0,'AT2 Lainat, alv'!AE32)</f>
        <v>0</v>
      </c>
      <c r="Q35" s="617">
        <f>'AT2 Lainat, alv'!AH32</f>
        <v>0</v>
      </c>
      <c r="S35" s="88"/>
    </row>
    <row r="36" spans="1:19" s="41" customFormat="1" ht="12.75" customHeight="1" x14ac:dyDescent="0.25">
      <c r="B36" s="361">
        <v>0</v>
      </c>
      <c r="C36" s="609">
        <v>0</v>
      </c>
      <c r="D36" s="355">
        <v>0</v>
      </c>
      <c r="E36" s="956">
        <v>0</v>
      </c>
      <c r="F36" s="896"/>
      <c r="G36" s="960"/>
      <c r="H36" s="889"/>
      <c r="I36" s="896"/>
      <c r="J36" s="961"/>
      <c r="K36" s="962"/>
      <c r="L36" s="963">
        <f>C36</f>
        <v>0</v>
      </c>
      <c r="M36" s="964">
        <f>'AT2 Lainat, alv'!Y35</f>
        <v>0</v>
      </c>
      <c r="N36" s="611">
        <f>'AT2 Lainat, alv'!AB35</f>
        <v>0</v>
      </c>
      <c r="O36" s="965">
        <v>0</v>
      </c>
      <c r="P36" s="952">
        <f>IF(L36=0,0,'AT2 Lainat, alv'!AE35)</f>
        <v>0</v>
      </c>
      <c r="Q36" s="617">
        <f>'AT2 Lainat, alv'!AH35</f>
        <v>0</v>
      </c>
      <c r="S36" s="88"/>
    </row>
    <row r="37" spans="1:19" s="41" customFormat="1" ht="12.75" customHeight="1" thickBot="1" x14ac:dyDescent="0.3">
      <c r="A37" s="537"/>
      <c r="B37" s="362">
        <v>0</v>
      </c>
      <c r="C37" s="933">
        <v>0</v>
      </c>
      <c r="D37" s="359">
        <v>0</v>
      </c>
      <c r="E37" s="966">
        <v>0</v>
      </c>
      <c r="F37" s="967"/>
      <c r="G37" s="968"/>
      <c r="H37" s="969"/>
      <c r="I37" s="970"/>
      <c r="J37" s="971"/>
      <c r="K37" s="972"/>
      <c r="L37" s="973"/>
      <c r="M37" s="974"/>
      <c r="N37" s="939"/>
      <c r="O37" s="940">
        <f>C37</f>
        <v>0</v>
      </c>
      <c r="P37" s="974">
        <f>IF(O37=0,0,'AT2 Lainat, alv'!AE38)</f>
        <v>0</v>
      </c>
      <c r="Q37" s="939">
        <f>'AT2 Lainat, alv'!AH38</f>
        <v>0</v>
      </c>
      <c r="S37" s="88"/>
    </row>
    <row r="38" spans="1:19" s="41" customFormat="1" ht="12.75" customHeight="1" thickTop="1" thickBot="1" x14ac:dyDescent="0.3">
      <c r="B38" s="363" t="s">
        <v>133</v>
      </c>
      <c r="C38" s="975">
        <f>SUM(C34:C37)</f>
        <v>0</v>
      </c>
      <c r="D38" s="608"/>
      <c r="E38" s="976"/>
      <c r="F38" s="977">
        <f t="shared" ref="F38:Q38" si="3">SUM(F34:F37)</f>
        <v>0</v>
      </c>
      <c r="G38" s="975">
        <f t="shared" si="3"/>
        <v>0</v>
      </c>
      <c r="H38" s="978">
        <f t="shared" si="3"/>
        <v>0</v>
      </c>
      <c r="I38" s="977">
        <f t="shared" si="3"/>
        <v>0</v>
      </c>
      <c r="J38" s="975">
        <f t="shared" si="3"/>
        <v>0</v>
      </c>
      <c r="K38" s="978">
        <f t="shared" si="3"/>
        <v>0</v>
      </c>
      <c r="L38" s="977">
        <f t="shared" si="3"/>
        <v>0</v>
      </c>
      <c r="M38" s="975">
        <f t="shared" si="3"/>
        <v>0</v>
      </c>
      <c r="N38" s="978">
        <f t="shared" si="3"/>
        <v>0</v>
      </c>
      <c r="O38" s="977">
        <f t="shared" si="3"/>
        <v>0</v>
      </c>
      <c r="P38" s="979">
        <f t="shared" si="3"/>
        <v>0</v>
      </c>
      <c r="Q38" s="980">
        <f t="shared" si="3"/>
        <v>0</v>
      </c>
    </row>
    <row r="39" spans="1:19" s="41" customFormat="1" ht="4.3499999999999996" customHeight="1" thickBot="1" x14ac:dyDescent="0.3">
      <c r="B39" s="178"/>
      <c r="C39" s="949"/>
      <c r="D39" s="950"/>
      <c r="E39" s="950"/>
      <c r="F39" s="949"/>
      <c r="G39" s="949"/>
      <c r="H39" s="949"/>
      <c r="I39" s="949"/>
      <c r="J39" s="949"/>
      <c r="K39" s="949"/>
      <c r="L39" s="949"/>
      <c r="M39" s="949"/>
      <c r="N39" s="949"/>
      <c r="O39" s="949"/>
      <c r="P39" s="949"/>
      <c r="Q39" s="949"/>
    </row>
    <row r="40" spans="1:19" s="63" customFormat="1" ht="12.75" customHeight="1" thickBot="1" x14ac:dyDescent="0.3">
      <c r="A40" s="537"/>
      <c r="B40" s="536" t="s">
        <v>134</v>
      </c>
      <c r="C40" s="981">
        <v>0</v>
      </c>
      <c r="D40" s="982"/>
      <c r="E40" s="983">
        <v>0</v>
      </c>
      <c r="F40" s="984"/>
      <c r="G40" s="985"/>
      <c r="H40" s="1141">
        <f>C40*E40</f>
        <v>0</v>
      </c>
      <c r="I40" s="984"/>
      <c r="J40" s="985"/>
      <c r="K40" s="1141">
        <f>E40*'6. T3 TASE'!H77</f>
        <v>0</v>
      </c>
      <c r="L40" s="984"/>
      <c r="M40" s="985"/>
      <c r="N40" s="1141">
        <f>E40*'6. T3 TASE'!I77</f>
        <v>0</v>
      </c>
      <c r="O40" s="984"/>
      <c r="P40" s="985"/>
      <c r="Q40" s="1141">
        <f>E40*'6. T3 TASE'!J77</f>
        <v>0</v>
      </c>
      <c r="R40" s="537"/>
      <c r="S40" s="537"/>
    </row>
    <row r="41" spans="1:19" s="63" customFormat="1" ht="4.5" customHeight="1" thickBot="1" x14ac:dyDescent="0.3">
      <c r="A41"/>
      <c r="B41" s="178"/>
      <c r="C41" s="987"/>
      <c r="D41" s="950"/>
      <c r="E41" s="988"/>
      <c r="F41" s="987"/>
      <c r="G41" s="987"/>
      <c r="H41" s="987"/>
      <c r="I41" s="987"/>
      <c r="J41" s="987"/>
      <c r="K41" s="987"/>
      <c r="L41" s="987"/>
      <c r="M41" s="987"/>
      <c r="N41" s="987"/>
      <c r="O41" s="987"/>
      <c r="P41" s="987"/>
      <c r="Q41" s="987"/>
      <c r="R41" s="537"/>
      <c r="S41" s="537"/>
    </row>
    <row r="42" spans="1:19" s="63" customFormat="1" ht="12.75" customHeight="1" thickBot="1" x14ac:dyDescent="0.3">
      <c r="A42" s="537"/>
      <c r="B42" s="536" t="s">
        <v>135</v>
      </c>
      <c r="C42" s="995">
        <f>'1. T1 INVESTOINTISUUN.'!E49</f>
        <v>0</v>
      </c>
      <c r="D42" s="982"/>
      <c r="E42" s="983">
        <v>0</v>
      </c>
      <c r="F42" s="984"/>
      <c r="G42" s="985"/>
      <c r="H42" s="986">
        <v>0</v>
      </c>
      <c r="I42" s="984"/>
      <c r="J42" s="985"/>
      <c r="K42" s="986">
        <f>E42*'6. T3 TASE'!H69</f>
        <v>0</v>
      </c>
      <c r="L42" s="984"/>
      <c r="M42" s="985"/>
      <c r="N42" s="986">
        <f>E42*'6. T3 TASE'!I69</f>
        <v>0</v>
      </c>
      <c r="O42" s="984"/>
      <c r="P42" s="985"/>
      <c r="Q42" s="986">
        <f>E42*'6. T3 TASE'!J69</f>
        <v>0</v>
      </c>
      <c r="R42" s="537"/>
      <c r="S42" s="537"/>
    </row>
    <row r="43" spans="1:19" s="63" customFormat="1" ht="4.5" customHeight="1" thickBot="1" x14ac:dyDescent="0.3">
      <c r="A43"/>
      <c r="B43" s="178"/>
      <c r="C43" s="987"/>
      <c r="D43" s="950"/>
      <c r="E43" s="988"/>
      <c r="F43" s="987"/>
      <c r="G43" s="987"/>
      <c r="H43" s="987"/>
      <c r="I43" s="987"/>
      <c r="J43" s="987"/>
      <c r="K43" s="987"/>
      <c r="L43" s="987"/>
      <c r="M43" s="987"/>
      <c r="N43" s="987"/>
      <c r="O43" s="987"/>
      <c r="P43" s="987"/>
      <c r="Q43" s="987"/>
      <c r="R43" s="537"/>
      <c r="S43" s="537"/>
    </row>
    <row r="44" spans="1:19" s="537" customFormat="1" ht="23.7" customHeight="1" thickBot="1" x14ac:dyDescent="0.3">
      <c r="A44"/>
      <c r="B44" s="746" t="s">
        <v>136</v>
      </c>
      <c r="C44" s="981">
        <v>0</v>
      </c>
      <c r="D44" s="982"/>
      <c r="E44" s="983">
        <v>0</v>
      </c>
      <c r="F44" s="984">
        <v>0</v>
      </c>
      <c r="G44" s="985"/>
      <c r="H44" s="1141">
        <f>C44*E44/2+(C44-G44/2)*E44/2</f>
        <v>0</v>
      </c>
      <c r="I44" s="984"/>
      <c r="J44" s="985"/>
      <c r="K44" s="1141">
        <f>$E44/2*(C44-G44)+(C44-G44-J44/2)*E44/2</f>
        <v>0</v>
      </c>
      <c r="L44" s="984"/>
      <c r="M44" s="985"/>
      <c r="N44" s="1141">
        <f>'6. T3 TASE'!H73*'2. T7 LAINAT'!E44/2+('6. T3 TASE'!H73-M44/2)*'2. T7 LAINAT'!E44/2</f>
        <v>0</v>
      </c>
      <c r="O44" s="984"/>
      <c r="P44" s="985"/>
      <c r="Q44" s="1141">
        <f>'6. T3 TASE'!I73*'2. T7 LAINAT'!E44/2+E44/2*('6. T3 TASE'!I73-'2. T7 LAINAT'!P44/2)</f>
        <v>0</v>
      </c>
    </row>
    <row r="45" spans="1:19" s="537" customFormat="1" ht="4.5" customHeight="1" thickBot="1" x14ac:dyDescent="0.3">
      <c r="A45" s="41"/>
      <c r="B45" s="538"/>
      <c r="C45" s="989"/>
      <c r="D45" s="990"/>
      <c r="E45" s="991"/>
      <c r="F45" s="989"/>
      <c r="G45" s="989"/>
      <c r="H45" s="989"/>
      <c r="I45" s="989"/>
      <c r="J45" s="989"/>
      <c r="K45" s="989"/>
      <c r="L45" s="989"/>
      <c r="M45" s="989"/>
      <c r="N45" s="989"/>
      <c r="O45" s="989"/>
      <c r="P45" s="989"/>
      <c r="Q45" s="989"/>
    </row>
    <row r="46" spans="1:19" s="63" customFormat="1" ht="12.75" customHeight="1" thickBot="1" x14ac:dyDescent="0.3">
      <c r="A46"/>
      <c r="B46" s="539" t="s">
        <v>137</v>
      </c>
      <c r="C46" s="992"/>
      <c r="D46" s="993"/>
      <c r="E46" s="994"/>
      <c r="F46" s="984"/>
      <c r="G46" s="985"/>
      <c r="H46" s="986">
        <v>0</v>
      </c>
      <c r="I46" s="984"/>
      <c r="J46" s="985"/>
      <c r="K46" s="986">
        <v>0</v>
      </c>
      <c r="L46" s="984"/>
      <c r="M46" s="985"/>
      <c r="N46" s="986">
        <v>0</v>
      </c>
      <c r="O46" s="984"/>
      <c r="P46" s="985"/>
      <c r="Q46" s="986">
        <v>0</v>
      </c>
      <c r="R46" s="537"/>
      <c r="S46" s="537"/>
    </row>
    <row r="47" spans="1:19" s="63" customFormat="1" ht="4.5" customHeight="1" thickBot="1" x14ac:dyDescent="0.3">
      <c r="A47"/>
      <c r="B47" s="178"/>
      <c r="C47" s="949"/>
      <c r="D47" s="950"/>
      <c r="E47" s="950"/>
      <c r="F47" s="987"/>
      <c r="G47" s="987"/>
      <c r="H47" s="987"/>
      <c r="I47" s="987"/>
      <c r="J47" s="987"/>
      <c r="K47" s="987"/>
      <c r="L47" s="987"/>
      <c r="M47" s="987"/>
      <c r="N47" s="987"/>
      <c r="O47" s="987"/>
      <c r="P47" s="987"/>
      <c r="Q47" s="987"/>
      <c r="R47" s="537"/>
      <c r="S47" s="537"/>
    </row>
    <row r="48" spans="1:19" s="41" customFormat="1" ht="17.100000000000001" customHeight="1" thickBot="1" x14ac:dyDescent="0.3">
      <c r="A48"/>
      <c r="B48" s="364" t="s">
        <v>138</v>
      </c>
      <c r="C48" s="995">
        <f>C32+C38+C40+C44+C42</f>
        <v>0</v>
      </c>
      <c r="D48" s="996"/>
      <c r="E48" s="997"/>
      <c r="F48" s="998">
        <f>F32+F38</f>
        <v>0</v>
      </c>
      <c r="G48" s="999">
        <f>G32+G38</f>
        <v>0</v>
      </c>
      <c r="H48" s="1000">
        <f>H32+H38+H40+H46+H44+H42</f>
        <v>0</v>
      </c>
      <c r="I48" s="998">
        <f>I32+I38</f>
        <v>0</v>
      </c>
      <c r="J48" s="999">
        <f>J32+J38</f>
        <v>0</v>
      </c>
      <c r="K48" s="1000">
        <f>K32+K38+K40+K46+K44+K42</f>
        <v>0</v>
      </c>
      <c r="L48" s="998">
        <f>L32+L38</f>
        <v>0</v>
      </c>
      <c r="M48" s="999">
        <f>M32+M38</f>
        <v>0</v>
      </c>
      <c r="N48" s="1000">
        <f>N32+N38+N40+N46+N44+N42</f>
        <v>0</v>
      </c>
      <c r="O48" s="998">
        <f>O32+O38</f>
        <v>0</v>
      </c>
      <c r="P48" s="999">
        <f>P32+P38</f>
        <v>0</v>
      </c>
      <c r="Q48" s="1000">
        <f>Q32+Q38+Q40+Q46+Q44+Q42</f>
        <v>0</v>
      </c>
    </row>
    <row r="49" spans="2:17" ht="6" customHeight="1" x14ac:dyDescent="0.25">
      <c r="B49" s="535"/>
      <c r="C49" s="535"/>
      <c r="D49" s="535"/>
      <c r="E49" s="535"/>
      <c r="F49" s="535"/>
      <c r="G49" s="535"/>
      <c r="H49" s="535"/>
      <c r="I49" s="535"/>
      <c r="J49" s="535"/>
      <c r="K49" s="535"/>
      <c r="L49" s="535"/>
      <c r="M49" s="535"/>
      <c r="N49" s="535"/>
      <c r="O49" s="535"/>
      <c r="P49" s="535"/>
      <c r="Q49" s="535"/>
    </row>
    <row r="50" spans="2:17" x14ac:dyDescent="0.25">
      <c r="B50" s="1748"/>
      <c r="C50" s="535"/>
      <c r="D50" s="4"/>
      <c r="E50" s="1843"/>
      <c r="F50" s="1843"/>
      <c r="G50" s="1843"/>
      <c r="H50" s="1843"/>
      <c r="I50" s="1843"/>
      <c r="J50" s="1843"/>
      <c r="K50" s="535"/>
      <c r="L50" s="535"/>
      <c r="M50" s="535"/>
      <c r="O50" s="535"/>
      <c r="P50" s="535"/>
      <c r="Q50" s="121" t="str">
        <f>OHJE!F6</f>
        <v>Palvelun tarjoavat</v>
      </c>
    </row>
    <row r="51" spans="2:17" x14ac:dyDescent="0.25">
      <c r="B51" s="1902" t="s">
        <v>86</v>
      </c>
      <c r="C51" s="1902"/>
      <c r="D51" s="1902"/>
      <c r="E51" s="4"/>
      <c r="F51" s="48"/>
      <c r="G51" s="48"/>
      <c r="H51" s="4"/>
      <c r="I51" s="48"/>
      <c r="J51" s="48"/>
      <c r="K51" s="4"/>
      <c r="L51" s="48"/>
      <c r="M51" s="48"/>
      <c r="O51" s="48"/>
      <c r="P51" s="48"/>
      <c r="Q51" s="402" t="str">
        <f>'1. T1 INVESTOINTISUUN.'!I65</f>
        <v>Iisalmi, Lapinlahti, Sonkajärvi, Vieremä</v>
      </c>
    </row>
    <row r="52" spans="2:17" x14ac:dyDescent="0.25">
      <c r="B52" s="1902"/>
      <c r="C52" s="1902"/>
    </row>
    <row r="54" spans="2:17" x14ac:dyDescent="0.25">
      <c r="B54" s="345" t="s">
        <v>87</v>
      </c>
    </row>
    <row r="55" spans="2:17" x14ac:dyDescent="0.25">
      <c r="B55" s="40" t="s">
        <v>88</v>
      </c>
    </row>
    <row r="56" spans="2:17" x14ac:dyDescent="0.25">
      <c r="B56" s="40" t="s">
        <v>89</v>
      </c>
    </row>
  </sheetData>
  <sheetProtection algorithmName="SHA-512" hashValue="Z/ek/fg12BNyGK1aPZSZdTKl6WAqwRcCNRjeoQHOX7Xe6tnusEo2vSISI3/ye2KEYgxYksMcaw6gVqlFF+px9A==" saltValue="ZxlJXPzXoSybnfFDYmfa8g==" spinCount="100000" sheet="1" objects="1" scenarios="1"/>
  <mergeCells count="19">
    <mergeCell ref="B2:C3"/>
    <mergeCell ref="I10:K10"/>
    <mergeCell ref="B6:D6"/>
    <mergeCell ref="O10:Q10"/>
    <mergeCell ref="I9:K9"/>
    <mergeCell ref="L10:N10"/>
    <mergeCell ref="F10:H10"/>
    <mergeCell ref="J6:M6"/>
    <mergeCell ref="O6:P6"/>
    <mergeCell ref="B52:C52"/>
    <mergeCell ref="B51:D51"/>
    <mergeCell ref="O9:Q9"/>
    <mergeCell ref="L9:N9"/>
    <mergeCell ref="F9:H9"/>
    <mergeCell ref="C8:C11"/>
    <mergeCell ref="D8:D11"/>
    <mergeCell ref="E8:E11"/>
    <mergeCell ref="B8:B9"/>
    <mergeCell ref="F8:Q8"/>
  </mergeCells>
  <phoneticPr fontId="5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landscape" verticalDpi="4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3">
    <tabColor rgb="FF0152A1"/>
  </sheetPr>
  <dimension ref="A2:X167"/>
  <sheetViews>
    <sheetView showGridLines="0" showZeros="0" defaultGridColor="0" colorId="22" zoomScaleNormal="100" zoomScaleSheetLayoutView="85" workbookViewId="0">
      <selection activeCell="D10" sqref="D10:E10"/>
    </sheetView>
  </sheetViews>
  <sheetFormatPr defaultRowHeight="13.2" x14ac:dyDescent="0.25"/>
  <cols>
    <col min="1" max="1" width="12" customWidth="1"/>
    <col min="2" max="2" width="2.88671875" customWidth="1"/>
    <col min="3" max="3" width="37.88671875" customWidth="1"/>
    <col min="4" max="4" width="9.6640625" customWidth="1"/>
    <col min="5" max="5" width="6" customWidth="1"/>
    <col min="6" max="6" width="9.6640625" customWidth="1"/>
    <col min="7" max="7" width="6" customWidth="1"/>
    <col min="8" max="8" width="9.6640625" customWidth="1"/>
    <col min="9" max="9" width="6" customWidth="1"/>
    <col min="10" max="10" width="9.6640625" customWidth="1"/>
    <col min="11" max="11" width="6" customWidth="1"/>
    <col min="12" max="12" width="2.5546875" customWidth="1"/>
    <col min="13" max="24" width="9.5546875" customWidth="1"/>
  </cols>
  <sheetData>
    <row r="2" spans="1:24" ht="15.6" x14ac:dyDescent="0.3">
      <c r="B2" s="19" t="s">
        <v>139</v>
      </c>
      <c r="M2" s="535"/>
    </row>
    <row r="3" spans="1:24" ht="14.25" customHeight="1" x14ac:dyDescent="0.3">
      <c r="D3" s="755"/>
      <c r="S3" s="19" t="s">
        <v>139</v>
      </c>
    </row>
    <row r="4" spans="1:24" ht="20.25" customHeight="1" x14ac:dyDescent="0.25">
      <c r="B4" s="1756" t="s">
        <v>10</v>
      </c>
      <c r="C4" s="34"/>
      <c r="D4" s="1969" t="s">
        <v>8</v>
      </c>
      <c r="E4" s="1969"/>
      <c r="F4" s="32"/>
      <c r="G4" s="47" t="s">
        <v>3</v>
      </c>
      <c r="H4" s="47"/>
      <c r="I4" s="36"/>
      <c r="J4" s="36" t="s">
        <v>3</v>
      </c>
      <c r="K4" s="36"/>
      <c r="L4" s="14"/>
    </row>
    <row r="5" spans="1:24" ht="12.75" customHeight="1" x14ac:dyDescent="0.25">
      <c r="B5" s="1963">
        <f>'7. T2 TULOSSUUN.'!B5:D5</f>
        <v>0</v>
      </c>
      <c r="C5" s="1963"/>
      <c r="D5" s="1966">
        <f>'1. T1 INVESTOINTISUUN.'!F4</f>
        <v>0</v>
      </c>
      <c r="E5" s="1963"/>
      <c r="F5" s="537"/>
      <c r="G5" s="537"/>
      <c r="H5" s="1844"/>
      <c r="I5" s="537"/>
      <c r="J5" s="537"/>
      <c r="K5" s="537"/>
      <c r="L5" s="537"/>
      <c r="M5" s="1925"/>
      <c r="N5" s="1925"/>
      <c r="O5" s="1925"/>
      <c r="U5" s="6"/>
      <c r="V5" s="6"/>
      <c r="W5" s="6"/>
    </row>
    <row r="6" spans="1:24" ht="10.5" customHeight="1" thickBot="1" x14ac:dyDescent="0.3">
      <c r="B6" s="4"/>
      <c r="C6" s="4"/>
      <c r="D6" s="13"/>
      <c r="M6" s="1845"/>
      <c r="N6" s="1845"/>
      <c r="O6" s="1845"/>
      <c r="P6" s="1845"/>
      <c r="Q6" s="1845"/>
      <c r="R6" s="1845"/>
      <c r="S6" s="1845"/>
      <c r="T6" s="1845"/>
      <c r="U6" s="1159"/>
      <c r="V6" s="1159"/>
      <c r="W6" s="1159"/>
      <c r="X6" s="74"/>
    </row>
    <row r="7" spans="1:24" ht="13.5" customHeight="1" x14ac:dyDescent="0.25">
      <c r="B7" s="1970" t="str">
        <f>IF(D10=12,"HINNAT ILMAN ARVONLISÄVEROA","HINNAT ILMAN ARVONLISÄVEROA. ENNUSTE 2-TILIKAUSI, HUOMAA TILIKAUDEN PITUUS!.")</f>
        <v>HINNAT ILMAN ARVONLISÄVEROA</v>
      </c>
      <c r="C7" s="1971"/>
      <c r="D7" s="1978" t="str">
        <f>'1. T1 INVESTOINTISUUN.'!E15</f>
        <v>Ennuste 1</v>
      </c>
      <c r="E7" s="1979"/>
      <c r="F7" s="1978" t="s">
        <v>20</v>
      </c>
      <c r="G7" s="1979"/>
      <c r="H7" s="1978" t="s">
        <v>21</v>
      </c>
      <c r="I7" s="1979"/>
      <c r="J7" s="1978" t="s">
        <v>22</v>
      </c>
      <c r="K7" s="1979"/>
      <c r="L7" s="20"/>
      <c r="M7" s="1681" t="s">
        <v>140</v>
      </c>
      <c r="N7" s="1846"/>
      <c r="O7" s="1157"/>
      <c r="P7" s="1158"/>
      <c r="Q7" s="1158"/>
      <c r="R7" s="1158"/>
      <c r="S7" s="1158"/>
      <c r="T7" s="262"/>
      <c r="U7" s="381"/>
      <c r="V7" s="381"/>
      <c r="W7" s="381"/>
      <c r="X7" s="382"/>
    </row>
    <row r="8" spans="1:24" ht="13.5" customHeight="1" x14ac:dyDescent="0.25">
      <c r="B8" s="1972" t="s">
        <v>141</v>
      </c>
      <c r="C8" s="1973"/>
      <c r="D8" s="1967">
        <f>'7. T2 TULOSSUUN.'!G8</f>
        <v>2024</v>
      </c>
      <c r="E8" s="1968"/>
      <c r="F8" s="1967">
        <f>'7. T2 TULOSSUUN.'!I8</f>
        <v>2025</v>
      </c>
      <c r="G8" s="1968"/>
      <c r="H8" s="1967">
        <f>'7. T2 TULOSSUUN.'!K8</f>
        <v>2026</v>
      </c>
      <c r="I8" s="1968"/>
      <c r="J8" s="1967">
        <f>'1. T1 INVESTOINTISUUN.'!H16</f>
        <v>2027</v>
      </c>
      <c r="K8" s="1968"/>
      <c r="L8" s="21"/>
      <c r="M8" s="328"/>
      <c r="N8" s="262"/>
      <c r="O8" s="262"/>
      <c r="P8" s="262"/>
      <c r="Q8" s="262"/>
      <c r="R8" s="262"/>
      <c r="S8" s="262"/>
      <c r="T8" s="262"/>
      <c r="U8" s="381"/>
      <c r="V8" s="381"/>
      <c r="W8" s="381"/>
      <c r="X8" s="382"/>
    </row>
    <row r="9" spans="1:24" ht="12.75" customHeight="1" x14ac:dyDescent="0.25">
      <c r="B9" s="1974"/>
      <c r="C9" s="1975"/>
      <c r="D9" s="215" t="s">
        <v>117</v>
      </c>
      <c r="E9" s="216" t="s">
        <v>142</v>
      </c>
      <c r="F9" s="215" t="s">
        <v>117</v>
      </c>
      <c r="G9" s="216" t="s">
        <v>142</v>
      </c>
      <c r="H9" s="215" t="s">
        <v>117</v>
      </c>
      <c r="I9" s="216" t="s">
        <v>142</v>
      </c>
      <c r="J9" s="215" t="s">
        <v>117</v>
      </c>
      <c r="K9" s="216" t="s">
        <v>142</v>
      </c>
      <c r="L9" s="21"/>
      <c r="M9" s="328"/>
      <c r="N9" s="262"/>
      <c r="O9" s="262"/>
      <c r="P9" s="262"/>
      <c r="Q9" s="262"/>
      <c r="R9" s="262"/>
      <c r="S9" s="262"/>
      <c r="T9" s="262"/>
      <c r="U9" s="381"/>
      <c r="V9" s="381"/>
      <c r="W9" s="381"/>
      <c r="X9" s="382"/>
    </row>
    <row r="10" spans="1:24" ht="12.75" customHeight="1" thickBot="1" x14ac:dyDescent="0.3">
      <c r="B10" s="1313"/>
      <c r="C10" s="1314" t="s">
        <v>143</v>
      </c>
      <c r="D10" s="1982">
        <v>12</v>
      </c>
      <c r="E10" s="1983"/>
      <c r="F10" s="1980" t="str">
        <f>'7. T2 TULOSSUUN.'!I10</f>
        <v>12</v>
      </c>
      <c r="G10" s="1981"/>
      <c r="H10" s="1980" t="str">
        <f>'7. T2 TULOSSUUN.'!K10</f>
        <v>12</v>
      </c>
      <c r="I10" s="1981"/>
      <c r="J10" s="1980" t="str">
        <f>'7. T2 TULOSSUUN.'!M10</f>
        <v>12</v>
      </c>
      <c r="K10" s="1981"/>
      <c r="L10" s="21"/>
      <c r="M10" s="328"/>
      <c r="N10" s="262"/>
      <c r="O10" s="262"/>
      <c r="P10" s="262"/>
      <c r="Q10" s="262"/>
      <c r="R10" s="262"/>
      <c r="S10" s="262"/>
      <c r="T10" s="262"/>
      <c r="U10" s="381"/>
      <c r="V10" s="381"/>
      <c r="W10" s="381"/>
      <c r="X10" s="382"/>
    </row>
    <row r="11" spans="1:24" s="1" customFormat="1" ht="13.5" customHeight="1" x14ac:dyDescent="0.25">
      <c r="A11" s="41"/>
      <c r="B11" s="189">
        <v>1</v>
      </c>
      <c r="C11" s="190" t="s">
        <v>144</v>
      </c>
      <c r="D11" s="1001">
        <f>D12+D17+D24-D30</f>
        <v>0</v>
      </c>
      <c r="E11" s="1002">
        <f>IF(D$44=0,0,D11/D$44*100)</f>
        <v>0</v>
      </c>
      <c r="F11" s="1001">
        <f>F12+F17+F24-F30</f>
        <v>0</v>
      </c>
      <c r="G11" s="1002">
        <f>IF(F$44=0,0,F11/F$44*100)</f>
        <v>0</v>
      </c>
      <c r="H11" s="1001">
        <f>H12+H17+H24-H30</f>
        <v>0</v>
      </c>
      <c r="I11" s="1002">
        <f>IF(H$44=0,0,H11/H$44*100)</f>
        <v>0</v>
      </c>
      <c r="J11" s="1001">
        <f>J12+J17+J24-J30</f>
        <v>0</v>
      </c>
      <c r="K11" s="1002">
        <f>IF(J$44=0,0,J11/J$44*100)</f>
        <v>0</v>
      </c>
      <c r="L11" s="3"/>
      <c r="M11" s="1976"/>
      <c r="N11" s="1977"/>
      <c r="O11" s="1977"/>
      <c r="P11" s="262"/>
      <c r="Q11" s="262"/>
      <c r="R11" s="262"/>
      <c r="S11" s="262"/>
      <c r="T11" s="262"/>
      <c r="U11" s="381"/>
      <c r="V11" s="381"/>
      <c r="W11" s="381"/>
      <c r="X11" s="382"/>
    </row>
    <row r="12" spans="1:24" s="4" customFormat="1" ht="12.6" customHeight="1" x14ac:dyDescent="0.25">
      <c r="A12"/>
      <c r="B12" s="191"/>
      <c r="C12" s="201" t="s">
        <v>145</v>
      </c>
      <c r="D12" s="1003">
        <f>(D13*D15)</f>
        <v>0</v>
      </c>
      <c r="E12" s="1004"/>
      <c r="F12" s="1003">
        <f>(F13*F15)</f>
        <v>0</v>
      </c>
      <c r="G12" s="1004"/>
      <c r="H12" s="1003">
        <f>(H13*H15)</f>
        <v>0</v>
      </c>
      <c r="I12" s="1004"/>
      <c r="J12" s="1003">
        <f>(J13*J15)</f>
        <v>0</v>
      </c>
      <c r="K12" s="1004"/>
      <c r="L12" s="25"/>
      <c r="M12" s="238">
        <f>F$8</f>
        <v>2025</v>
      </c>
      <c r="N12" s="238">
        <f>H8</f>
        <v>2026</v>
      </c>
      <c r="O12" s="238">
        <f>J$8</f>
        <v>2027</v>
      </c>
      <c r="P12" s="262"/>
      <c r="Q12" s="262"/>
      <c r="R12" s="262"/>
      <c r="S12" s="262"/>
      <c r="T12" s="262"/>
      <c r="U12" s="381"/>
      <c r="V12" s="381"/>
      <c r="W12" s="381"/>
      <c r="X12" s="382"/>
    </row>
    <row r="13" spans="1:24" s="40" customFormat="1" ht="12.6" customHeight="1" x14ac:dyDescent="0.2">
      <c r="A13" s="41"/>
      <c r="B13" s="192"/>
      <c r="C13" s="193" t="s">
        <v>146</v>
      </c>
      <c r="D13" s="1005"/>
      <c r="E13" s="1006"/>
      <c r="F13" s="1005">
        <f>D13+D13*M13</f>
        <v>0</v>
      </c>
      <c r="G13" s="1006"/>
      <c r="H13" s="1005">
        <f>F13+F13*N13</f>
        <v>0</v>
      </c>
      <c r="I13" s="1006"/>
      <c r="J13" s="1005">
        <f>H13+H13*O13</f>
        <v>0</v>
      </c>
      <c r="K13" s="1006"/>
      <c r="L13" s="45"/>
      <c r="M13" s="331">
        <v>0.03</v>
      </c>
      <c r="N13" s="331">
        <f>M13</f>
        <v>0.03</v>
      </c>
      <c r="O13" s="331">
        <f>N13</f>
        <v>0.03</v>
      </c>
      <c r="P13" s="262" t="s">
        <v>3</v>
      </c>
      <c r="R13" s="262"/>
      <c r="S13" s="262"/>
      <c r="T13" s="262"/>
      <c r="U13" s="381"/>
      <c r="V13" s="381"/>
      <c r="W13" s="381"/>
      <c r="X13" s="382"/>
    </row>
    <row r="14" spans="1:24" s="40" customFormat="1" ht="12.6" customHeight="1" x14ac:dyDescent="0.25">
      <c r="A14" s="2"/>
      <c r="B14" s="192"/>
      <c r="C14" s="193" t="s">
        <v>147</v>
      </c>
      <c r="D14" s="1005"/>
      <c r="E14" s="1006"/>
      <c r="F14" s="1005">
        <f>D14+D14*M14</f>
        <v>0</v>
      </c>
      <c r="G14" s="1006"/>
      <c r="H14" s="1005">
        <f>F14+F14*N14</f>
        <v>0</v>
      </c>
      <c r="I14" s="1006"/>
      <c r="J14" s="1005">
        <f>H14+H14*O14</f>
        <v>0</v>
      </c>
      <c r="K14" s="1006"/>
      <c r="L14" s="45"/>
      <c r="M14" s="331">
        <v>0.03</v>
      </c>
      <c r="N14" s="331">
        <f>M14</f>
        <v>0.03</v>
      </c>
      <c r="O14" s="331">
        <f>N14</f>
        <v>0.03</v>
      </c>
      <c r="P14" s="262"/>
      <c r="Q14" s="262"/>
      <c r="R14" s="262"/>
      <c r="S14" s="262"/>
      <c r="T14" s="262"/>
      <c r="U14" s="381"/>
      <c r="V14" s="381"/>
      <c r="W14" s="381"/>
      <c r="X14" s="382"/>
    </row>
    <row r="15" spans="1:24" s="40" customFormat="1" ht="12.6" customHeight="1" x14ac:dyDescent="0.2">
      <c r="A15" s="41"/>
      <c r="B15" s="192"/>
      <c r="C15" s="193" t="s">
        <v>148</v>
      </c>
      <c r="D15" s="1007">
        <v>12</v>
      </c>
      <c r="E15" s="1006"/>
      <c r="F15" s="1007">
        <v>12.5</v>
      </c>
      <c r="G15" s="1006"/>
      <c r="H15" s="1007">
        <f>F15</f>
        <v>12.5</v>
      </c>
      <c r="I15" s="1006"/>
      <c r="J15" s="1007">
        <f>H15</f>
        <v>12.5</v>
      </c>
      <c r="K15" s="1006"/>
      <c r="L15" s="45"/>
      <c r="M15" s="1156"/>
      <c r="N15" s="137"/>
      <c r="O15" s="137"/>
      <c r="P15" s="262"/>
      <c r="Q15" s="262"/>
      <c r="R15" s="262"/>
      <c r="S15" s="262"/>
      <c r="T15" s="262"/>
      <c r="U15" s="381"/>
      <c r="V15" s="381"/>
      <c r="W15" s="381"/>
      <c r="X15" s="382"/>
    </row>
    <row r="16" spans="1:24" s="40" customFormat="1" ht="12.6" customHeight="1" x14ac:dyDescent="0.2">
      <c r="A16" s="41"/>
      <c r="B16" s="192"/>
      <c r="C16" s="193" t="s">
        <v>149</v>
      </c>
      <c r="D16" s="1190">
        <v>0.3</v>
      </c>
      <c r="E16" s="1017"/>
      <c r="F16" s="1190">
        <f>D16</f>
        <v>0.3</v>
      </c>
      <c r="G16" s="1017"/>
      <c r="H16" s="1190">
        <f>F16</f>
        <v>0.3</v>
      </c>
      <c r="I16" s="1017"/>
      <c r="J16" s="1190">
        <f>H16</f>
        <v>0.3</v>
      </c>
      <c r="K16" s="1006"/>
      <c r="L16" s="45"/>
      <c r="M16" s="1676"/>
      <c r="N16" s="262"/>
      <c r="O16" s="262"/>
      <c r="P16" s="262"/>
      <c r="Q16" s="262"/>
      <c r="R16" s="262"/>
      <c r="S16" s="262"/>
      <c r="T16" s="262"/>
      <c r="U16" s="262"/>
      <c r="V16" s="381"/>
      <c r="W16" s="381"/>
      <c r="X16" s="382"/>
    </row>
    <row r="17" spans="1:24" s="4" customFormat="1" x14ac:dyDescent="0.25">
      <c r="A17"/>
      <c r="B17" s="191"/>
      <c r="C17" s="1643" t="s">
        <v>150</v>
      </c>
      <c r="D17" s="895">
        <f>D18*D19*D20*D21</f>
        <v>0</v>
      </c>
      <c r="E17" s="1004"/>
      <c r="F17" s="895">
        <f>F18*F19*F20*F21</f>
        <v>0</v>
      </c>
      <c r="G17" s="1004"/>
      <c r="H17" s="895">
        <f>H18*H19*H20*H21</f>
        <v>0</v>
      </c>
      <c r="I17" s="1004"/>
      <c r="J17" s="895">
        <f>J18*J19*J20*J21</f>
        <v>0</v>
      </c>
      <c r="K17" s="1004"/>
      <c r="L17" s="25"/>
      <c r="M17" s="1742"/>
      <c r="N17" s="1743"/>
      <c r="O17" s="1743"/>
      <c r="P17" s="262"/>
      <c r="Q17" s="262"/>
      <c r="R17" s="262"/>
      <c r="S17" s="262"/>
      <c r="T17" s="262"/>
      <c r="U17" s="381"/>
      <c r="V17" s="381"/>
      <c r="W17" s="381"/>
      <c r="X17" s="382"/>
    </row>
    <row r="18" spans="1:24" s="40" customFormat="1" ht="12.6" customHeight="1" x14ac:dyDescent="0.2">
      <c r="A18" s="41"/>
      <c r="B18" s="192"/>
      <c r="C18" s="193" t="s">
        <v>151</v>
      </c>
      <c r="D18" s="1008"/>
      <c r="E18" s="1009"/>
      <c r="F18" s="1008">
        <f>D18+D18*M18</f>
        <v>0</v>
      </c>
      <c r="G18" s="1009"/>
      <c r="H18" s="1008">
        <f>F18+F18*N18</f>
        <v>0</v>
      </c>
      <c r="I18" s="1009"/>
      <c r="J18" s="1008">
        <f>H18+H18*O18</f>
        <v>0</v>
      </c>
      <c r="K18" s="1006"/>
      <c r="L18" s="43"/>
      <c r="M18" s="1672">
        <v>0.03</v>
      </c>
      <c r="N18" s="1672">
        <f>M18</f>
        <v>0.03</v>
      </c>
      <c r="O18" s="1672">
        <f>N18</f>
        <v>0.03</v>
      </c>
      <c r="P18" s="262" t="s">
        <v>3</v>
      </c>
      <c r="Q18" s="262"/>
      <c r="R18" s="262"/>
      <c r="S18" s="262"/>
      <c r="T18" s="262"/>
      <c r="U18" s="381"/>
      <c r="V18" s="381"/>
      <c r="W18" s="381"/>
      <c r="X18" s="382"/>
    </row>
    <row r="19" spans="1:24" s="40" customFormat="1" ht="12.6" customHeight="1" x14ac:dyDescent="0.25">
      <c r="A19"/>
      <c r="B19" s="192"/>
      <c r="C19" s="193" t="s">
        <v>152</v>
      </c>
      <c r="D19" s="1005"/>
      <c r="E19" s="1006"/>
      <c r="F19" s="1005">
        <f>D19</f>
        <v>0</v>
      </c>
      <c r="G19" s="1006"/>
      <c r="H19" s="1005">
        <f>F19</f>
        <v>0</v>
      </c>
      <c r="I19" s="1006"/>
      <c r="J19" s="1005">
        <f>H19</f>
        <v>0</v>
      </c>
      <c r="K19" s="1006"/>
      <c r="L19" s="43"/>
      <c r="M19" s="1154"/>
      <c r="N19" s="1759"/>
      <c r="O19" s="1759"/>
      <c r="P19" s="262"/>
      <c r="Q19" s="262"/>
      <c r="R19" s="262"/>
      <c r="S19" s="262"/>
      <c r="T19" s="262"/>
      <c r="U19" s="381"/>
      <c r="V19" s="381"/>
      <c r="W19" s="381"/>
      <c r="X19" s="382"/>
    </row>
    <row r="20" spans="1:24" s="40" customFormat="1" ht="12.6" customHeight="1" x14ac:dyDescent="0.2">
      <c r="A20" s="41"/>
      <c r="B20" s="192"/>
      <c r="C20" s="193" t="s">
        <v>153</v>
      </c>
      <c r="D20" s="1007"/>
      <c r="E20" s="1006"/>
      <c r="F20" s="1007">
        <f>D20</f>
        <v>0</v>
      </c>
      <c r="G20" s="1006"/>
      <c r="H20" s="1007">
        <f>F20</f>
        <v>0</v>
      </c>
      <c r="I20" s="1006"/>
      <c r="J20" s="1007">
        <f>H20</f>
        <v>0</v>
      </c>
      <c r="K20" s="1006"/>
      <c r="L20" s="43"/>
      <c r="M20" s="1155"/>
      <c r="N20" s="159"/>
      <c r="O20" s="159"/>
      <c r="P20" s="262"/>
      <c r="Q20" s="262"/>
      <c r="R20" s="262"/>
      <c r="S20" s="262"/>
      <c r="T20" s="262"/>
      <c r="U20" s="381"/>
      <c r="V20" s="381"/>
      <c r="W20" s="381"/>
      <c r="X20" s="382"/>
    </row>
    <row r="21" spans="1:24" s="40" customFormat="1" ht="12.6" customHeight="1" x14ac:dyDescent="0.25">
      <c r="A21" s="2"/>
      <c r="B21" s="192"/>
      <c r="C21" s="193" t="s">
        <v>148</v>
      </c>
      <c r="D21" s="1007">
        <v>12</v>
      </c>
      <c r="E21" s="1006"/>
      <c r="F21" s="1007">
        <v>12.5</v>
      </c>
      <c r="G21" s="1006"/>
      <c r="H21" s="1007">
        <f>F21</f>
        <v>12.5</v>
      </c>
      <c r="I21" s="1006"/>
      <c r="J21" s="1007">
        <f>H21</f>
        <v>12.5</v>
      </c>
      <c r="K21" s="1006"/>
      <c r="L21" s="43"/>
      <c r="M21" s="1675"/>
      <c r="N21" s="1673"/>
      <c r="O21" s="1673"/>
      <c r="P21" s="385"/>
      <c r="Q21" s="262"/>
      <c r="R21" s="262"/>
      <c r="S21" s="262"/>
      <c r="T21" s="262"/>
      <c r="U21" s="381"/>
      <c r="V21" s="381"/>
      <c r="W21" s="381"/>
      <c r="X21" s="382"/>
    </row>
    <row r="22" spans="1:24" s="40" customFormat="1" ht="12.6" customHeight="1" x14ac:dyDescent="0.25">
      <c r="A22"/>
      <c r="B22" s="192"/>
      <c r="C22" s="193" t="s">
        <v>154</v>
      </c>
      <c r="D22" s="1005">
        <v>0</v>
      </c>
      <c r="E22" s="1010"/>
      <c r="F22" s="1005">
        <f>D22+D22*M22</f>
        <v>0</v>
      </c>
      <c r="G22" s="1006"/>
      <c r="H22" s="1005">
        <f>F22+F22*N22</f>
        <v>0</v>
      </c>
      <c r="I22" s="1006"/>
      <c r="J22" s="1005">
        <f>H22+H22*O22</f>
        <v>0</v>
      </c>
      <c r="K22" s="1006"/>
      <c r="L22" s="43"/>
      <c r="M22" s="1672">
        <v>0.03</v>
      </c>
      <c r="N22" s="1672">
        <f>M22</f>
        <v>0.03</v>
      </c>
      <c r="O22" s="1672">
        <f>N22</f>
        <v>0.03</v>
      </c>
      <c r="P22" s="262"/>
      <c r="Q22" s="262"/>
      <c r="R22" s="262"/>
      <c r="S22" s="262"/>
      <c r="T22" s="262"/>
      <c r="U22" s="381"/>
      <c r="V22" s="381"/>
      <c r="W22" s="381"/>
      <c r="X22" s="382"/>
    </row>
    <row r="23" spans="1:24" s="40" customFormat="1" ht="12.6" customHeight="1" x14ac:dyDescent="0.2">
      <c r="A23" s="41"/>
      <c r="B23" s="192"/>
      <c r="C23" s="193" t="s">
        <v>155</v>
      </c>
      <c r="D23" s="1190">
        <v>0.25</v>
      </c>
      <c r="E23" s="1017"/>
      <c r="F23" s="1190">
        <f>D23</f>
        <v>0.25</v>
      </c>
      <c r="G23" s="1017"/>
      <c r="H23" s="1190">
        <f>F23</f>
        <v>0.25</v>
      </c>
      <c r="I23" s="1017"/>
      <c r="J23" s="1190">
        <f>H23</f>
        <v>0.25</v>
      </c>
      <c r="K23" s="1006"/>
      <c r="L23" s="45"/>
      <c r="M23" s="1191"/>
      <c r="N23" s="262"/>
      <c r="O23" s="262"/>
      <c r="P23" s="262"/>
      <c r="Q23" s="262"/>
      <c r="R23" s="262"/>
      <c r="S23" s="262"/>
      <c r="T23" s="262"/>
      <c r="U23" s="262"/>
      <c r="V23" s="381"/>
      <c r="W23" s="381"/>
      <c r="X23" s="382"/>
    </row>
    <row r="24" spans="1:24" s="4" customFormat="1" x14ac:dyDescent="0.25">
      <c r="A24"/>
      <c r="B24" s="191"/>
      <c r="C24" s="1643" t="s">
        <v>156</v>
      </c>
      <c r="D24" s="895">
        <f>D25*D26*D27</f>
        <v>0</v>
      </c>
      <c r="E24" s="1004"/>
      <c r="F24" s="895">
        <f>F25*F26*F27</f>
        <v>0</v>
      </c>
      <c r="G24" s="1004"/>
      <c r="H24" s="895">
        <f>H25*H26*H27</f>
        <v>0</v>
      </c>
      <c r="I24" s="1004"/>
      <c r="J24" s="895">
        <f>J25*J26*J27</f>
        <v>0</v>
      </c>
      <c r="K24" s="1004"/>
      <c r="L24" s="25"/>
      <c r="M24" s="1675"/>
      <c r="N24" s="1673"/>
      <c r="O24" s="1673"/>
      <c r="P24" s="262"/>
      <c r="Q24" s="262"/>
      <c r="R24" s="262"/>
      <c r="S24" s="262"/>
      <c r="T24" s="262"/>
      <c r="U24" s="381"/>
      <c r="V24" s="381"/>
      <c r="W24" s="381"/>
      <c r="X24" s="382"/>
    </row>
    <row r="25" spans="1:24" s="40" customFormat="1" ht="12.6" customHeight="1" x14ac:dyDescent="0.25">
      <c r="A25"/>
      <c r="B25" s="192"/>
      <c r="C25" s="193" t="s">
        <v>157</v>
      </c>
      <c r="D25" s="1005">
        <v>0</v>
      </c>
      <c r="E25" s="1006"/>
      <c r="F25" s="1005">
        <f>D25+D25*M25</f>
        <v>0</v>
      </c>
      <c r="G25" s="1006"/>
      <c r="H25" s="1005">
        <f>F25+F25*N25</f>
        <v>0</v>
      </c>
      <c r="I25" s="1006"/>
      <c r="J25" s="1005">
        <f>H25+H25*O25</f>
        <v>0</v>
      </c>
      <c r="K25" s="1006"/>
      <c r="L25" s="43"/>
      <c r="M25" s="1672">
        <v>0.03</v>
      </c>
      <c r="N25" s="1672">
        <f>M25</f>
        <v>0.03</v>
      </c>
      <c r="O25" s="1672">
        <f>N25</f>
        <v>0.03</v>
      </c>
      <c r="P25" s="262"/>
      <c r="Q25" s="262"/>
      <c r="R25" s="262"/>
      <c r="S25" s="262"/>
      <c r="T25" s="262"/>
      <c r="U25" s="381"/>
      <c r="V25" s="381"/>
      <c r="W25" s="381"/>
      <c r="X25" s="382"/>
    </row>
    <row r="26" spans="1:24" s="40" customFormat="1" ht="12.6" customHeight="1" x14ac:dyDescent="0.25">
      <c r="A26"/>
      <c r="B26" s="192"/>
      <c r="C26" s="193" t="s">
        <v>158</v>
      </c>
      <c r="D26" s="1007">
        <v>0</v>
      </c>
      <c r="E26" s="1006"/>
      <c r="F26" s="1007">
        <f>D26</f>
        <v>0</v>
      </c>
      <c r="G26" s="1006"/>
      <c r="H26" s="1007">
        <f>F26</f>
        <v>0</v>
      </c>
      <c r="I26" s="1006"/>
      <c r="J26" s="1007">
        <f>H26</f>
        <v>0</v>
      </c>
      <c r="K26" s="1006"/>
      <c r="L26" s="43"/>
      <c r="M26" s="370"/>
      <c r="N26" s="136"/>
      <c r="O26" s="136"/>
      <c r="P26" s="262"/>
      <c r="Q26" s="262"/>
      <c r="R26" s="262"/>
      <c r="S26" s="262"/>
      <c r="T26" s="262"/>
      <c r="U26" s="381"/>
      <c r="V26" s="381"/>
      <c r="W26" s="381"/>
      <c r="X26" s="382"/>
    </row>
    <row r="27" spans="1:24" s="40" customFormat="1" ht="12.6" customHeight="1" x14ac:dyDescent="0.25">
      <c r="A27"/>
      <c r="B27" s="192"/>
      <c r="C27" s="193" t="s">
        <v>148</v>
      </c>
      <c r="D27" s="1007">
        <v>12</v>
      </c>
      <c r="E27" s="1006"/>
      <c r="F27" s="1007">
        <v>12.5</v>
      </c>
      <c r="G27" s="1006"/>
      <c r="H27" s="1007">
        <f>F27</f>
        <v>12.5</v>
      </c>
      <c r="I27" s="1006"/>
      <c r="J27" s="1007">
        <f>H27</f>
        <v>12.5</v>
      </c>
      <c r="K27" s="1006"/>
      <c r="L27" s="43"/>
      <c r="M27" s="1675"/>
      <c r="N27" s="1673"/>
      <c r="O27" s="1673"/>
      <c r="P27" s="385"/>
      <c r="Q27" s="262"/>
      <c r="R27" s="262"/>
      <c r="S27" s="262"/>
      <c r="T27" s="262"/>
      <c r="U27" s="381"/>
      <c r="V27" s="381"/>
      <c r="W27" s="381"/>
      <c r="X27" s="382"/>
    </row>
    <row r="28" spans="1:24" s="40" customFormat="1" ht="12.6" customHeight="1" x14ac:dyDescent="0.25">
      <c r="A28"/>
      <c r="B28" s="192"/>
      <c r="C28" s="193" t="s">
        <v>154</v>
      </c>
      <c r="D28" s="1005">
        <v>0</v>
      </c>
      <c r="E28" s="1010"/>
      <c r="F28" s="1005">
        <f>D28+D28*M28</f>
        <v>0</v>
      </c>
      <c r="G28" s="1006"/>
      <c r="H28" s="1005">
        <f>F28+F28*N28</f>
        <v>0</v>
      </c>
      <c r="I28" s="1006"/>
      <c r="J28" s="1005">
        <f>H28+H28*O28</f>
        <v>0</v>
      </c>
      <c r="K28" s="1006"/>
      <c r="L28" s="43"/>
      <c r="M28" s="1672">
        <v>0.03</v>
      </c>
      <c r="N28" s="1672">
        <f>M28</f>
        <v>0.03</v>
      </c>
      <c r="O28" s="1672">
        <f>N28</f>
        <v>0.03</v>
      </c>
      <c r="P28" s="262"/>
      <c r="Q28" s="262"/>
      <c r="R28" s="262"/>
      <c r="S28" s="262"/>
      <c r="T28" s="262"/>
      <c r="U28" s="381"/>
      <c r="V28" s="381"/>
      <c r="W28" s="381"/>
      <c r="X28" s="382"/>
    </row>
    <row r="29" spans="1:24" s="40" customFormat="1" ht="12.6" customHeight="1" x14ac:dyDescent="0.2">
      <c r="A29" s="41"/>
      <c r="B29" s="192"/>
      <c r="C29" s="193" t="s">
        <v>159</v>
      </c>
      <c r="D29" s="1190">
        <v>0.27</v>
      </c>
      <c r="E29" s="1017"/>
      <c r="F29" s="1190">
        <f>D29</f>
        <v>0.27</v>
      </c>
      <c r="G29" s="1017"/>
      <c r="H29" s="1190">
        <f>F29</f>
        <v>0.27</v>
      </c>
      <c r="I29" s="1017"/>
      <c r="J29" s="1190">
        <f>H29</f>
        <v>0.27</v>
      </c>
      <c r="K29" s="1006"/>
      <c r="L29" s="45"/>
      <c r="M29" s="1191"/>
      <c r="N29" s="262"/>
      <c r="O29" s="262"/>
      <c r="P29" s="262"/>
      <c r="Q29" s="262"/>
      <c r="R29" s="262"/>
      <c r="S29" s="262"/>
      <c r="T29" s="262"/>
      <c r="U29" s="262"/>
      <c r="V29" s="381"/>
      <c r="W29" s="381"/>
      <c r="X29" s="382"/>
    </row>
    <row r="30" spans="1:24" s="40" customFormat="1" ht="12.6" customHeight="1" thickBot="1" x14ac:dyDescent="0.3">
      <c r="A30"/>
      <c r="B30" s="192"/>
      <c r="C30" s="1644" t="s">
        <v>160</v>
      </c>
      <c r="D30" s="1011">
        <v>0</v>
      </c>
      <c r="E30" s="1012"/>
      <c r="F30" s="1011"/>
      <c r="G30" s="1013"/>
      <c r="H30" s="1011"/>
      <c r="I30" s="1013"/>
      <c r="J30" s="1011"/>
      <c r="K30" s="1014"/>
      <c r="L30" s="43"/>
      <c r="M30" s="328"/>
      <c r="N30" s="262"/>
      <c r="O30" s="262"/>
      <c r="P30" s="262"/>
      <c r="Q30" s="262"/>
      <c r="R30" s="262"/>
      <c r="S30" s="262"/>
      <c r="T30" s="262"/>
      <c r="U30" s="381"/>
      <c r="V30" s="381"/>
      <c r="W30" s="381"/>
      <c r="X30" s="382"/>
    </row>
    <row r="31" spans="1:24" s="1" customFormat="1" ht="13.5" customHeight="1" x14ac:dyDescent="0.25">
      <c r="A31" s="41"/>
      <c r="B31" s="189">
        <v>2</v>
      </c>
      <c r="C31" s="195" t="s">
        <v>161</v>
      </c>
      <c r="D31" s="1015">
        <f>D32+D39+D41+D43+D42</f>
        <v>0</v>
      </c>
      <c r="E31" s="1002">
        <f>IF(D$44=0,0,D31/D$44*100)</f>
        <v>0</v>
      </c>
      <c r="F31" s="1015">
        <f>F32+F39+F41+F43+F42</f>
        <v>0</v>
      </c>
      <c r="G31" s="1002">
        <f>IF(F$44=0,0,F31/F$44*100)</f>
        <v>0</v>
      </c>
      <c r="H31" s="1015">
        <f>H32+H39+H41+H43+H42</f>
        <v>0</v>
      </c>
      <c r="I31" s="1002">
        <f>IF(H$44=0,0,H31/H$44*100)</f>
        <v>0</v>
      </c>
      <c r="J31" s="1015">
        <f>J32+J39+J41+J43+J42</f>
        <v>0</v>
      </c>
      <c r="K31" s="1002">
        <f>IF(J$44=0,0,J31/J$44*100)</f>
        <v>0</v>
      </c>
      <c r="L31" s="3"/>
      <c r="M31" s="328"/>
      <c r="N31" s="262"/>
      <c r="O31" s="262"/>
      <c r="P31" s="262"/>
      <c r="Q31" s="262"/>
      <c r="R31" s="262"/>
      <c r="S31" s="262"/>
      <c r="T31" s="262"/>
      <c r="U31" s="381"/>
      <c r="V31" s="381"/>
      <c r="W31" s="381"/>
      <c r="X31" s="382"/>
    </row>
    <row r="32" spans="1:24" s="4" customFormat="1" ht="12.6" customHeight="1" x14ac:dyDescent="0.25">
      <c r="A32"/>
      <c r="B32" s="191"/>
      <c r="C32" s="1640" t="s">
        <v>162</v>
      </c>
      <c r="D32" s="895">
        <f>D34+D37+D38</f>
        <v>0</v>
      </c>
      <c r="E32" s="1016"/>
      <c r="F32" s="895">
        <f>F34+F37+F38</f>
        <v>0</v>
      </c>
      <c r="G32" s="1016"/>
      <c r="H32" s="895">
        <f>H34+H37+H38</f>
        <v>0</v>
      </c>
      <c r="I32" s="1016"/>
      <c r="J32" s="895">
        <f>J34+J37+J38</f>
        <v>0</v>
      </c>
      <c r="K32" s="1016"/>
      <c r="L32" s="26"/>
      <c r="M32" s="328"/>
      <c r="N32" s="262"/>
      <c r="O32" s="262"/>
      <c r="P32" s="262"/>
      <c r="Q32" s="262"/>
      <c r="R32" s="262"/>
      <c r="S32" s="262"/>
      <c r="T32" s="262"/>
      <c r="U32" s="381"/>
      <c r="V32" s="381"/>
      <c r="W32" s="381"/>
      <c r="X32" s="382"/>
    </row>
    <row r="33" spans="1:24" s="40" customFormat="1" ht="12.6" customHeight="1" x14ac:dyDescent="0.2">
      <c r="A33" s="41"/>
      <c r="B33" s="192"/>
      <c r="C33" s="193" t="s">
        <v>163</v>
      </c>
      <c r="D33" s="887">
        <v>0.1739</v>
      </c>
      <c r="E33" s="1017"/>
      <c r="F33" s="1018">
        <f>D33</f>
        <v>0.1739</v>
      </c>
      <c r="G33" s="1019"/>
      <c r="H33" s="1018">
        <f>F33</f>
        <v>0.1739</v>
      </c>
      <c r="I33" s="1017"/>
      <c r="J33" s="1018">
        <f>H33</f>
        <v>0.1739</v>
      </c>
      <c r="K33" s="1017"/>
      <c r="L33" s="43"/>
      <c r="M33" s="328"/>
      <c r="N33" s="262"/>
      <c r="O33" s="262"/>
      <c r="P33" s="262"/>
      <c r="Q33" s="262"/>
      <c r="R33" s="262"/>
      <c r="S33" s="262"/>
      <c r="T33" s="262"/>
      <c r="U33" s="381"/>
      <c r="V33" s="381"/>
      <c r="W33" s="381"/>
      <c r="X33" s="382"/>
    </row>
    <row r="34" spans="1:24" s="40" customFormat="1" ht="12.6" customHeight="1" x14ac:dyDescent="0.25">
      <c r="A34"/>
      <c r="B34" s="192"/>
      <c r="C34" s="193" t="s">
        <v>164</v>
      </c>
      <c r="D34" s="1020">
        <f>(D33)*(D17+D24+D22+D28)</f>
        <v>0</v>
      </c>
      <c r="E34" s="1006"/>
      <c r="F34" s="1020">
        <f>(F33)*(F17+F24+F22+F28)</f>
        <v>0</v>
      </c>
      <c r="G34" s="1021"/>
      <c r="H34" s="1020">
        <f>(H33)*(H17+H24+H22+H28)</f>
        <v>0</v>
      </c>
      <c r="I34" s="1006"/>
      <c r="J34" s="1020">
        <f>(J33)*(J17+J24+J22+J28)</f>
        <v>0</v>
      </c>
      <c r="K34" s="1006"/>
      <c r="L34" s="43"/>
      <c r="M34" s="1744"/>
      <c r="N34" s="1745"/>
      <c r="O34" s="1745"/>
      <c r="P34" s="262"/>
      <c r="Q34" s="262"/>
      <c r="R34" s="262"/>
      <c r="S34" s="262"/>
      <c r="T34" s="262"/>
      <c r="U34" s="381"/>
      <c r="V34" s="381"/>
      <c r="W34" s="381"/>
      <c r="X34" s="382"/>
    </row>
    <row r="35" spans="1:24" s="40" customFormat="1" ht="12.6" customHeight="1" x14ac:dyDescent="0.2">
      <c r="A35" s="41"/>
      <c r="B35" s="192"/>
      <c r="C35" s="193" t="s">
        <v>165</v>
      </c>
      <c r="D35" s="1022">
        <f>D12+D14*D15</f>
        <v>0</v>
      </c>
      <c r="E35" s="1006"/>
      <c r="F35" s="1022">
        <f>D35+D35*M35</f>
        <v>0</v>
      </c>
      <c r="G35" s="1023"/>
      <c r="H35" s="1022">
        <f>F35+F35*N35</f>
        <v>0</v>
      </c>
      <c r="I35" s="1024"/>
      <c r="J35" s="1022">
        <f>H35+H35*O35</f>
        <v>0</v>
      </c>
      <c r="K35" s="1006"/>
      <c r="L35" s="43"/>
      <c r="M35" s="1672">
        <v>0.03</v>
      </c>
      <c r="N35" s="1672">
        <f>M35</f>
        <v>0.03</v>
      </c>
      <c r="O35" s="1672">
        <f>N35</f>
        <v>0.03</v>
      </c>
      <c r="P35" s="262"/>
      <c r="Q35" s="262"/>
      <c r="R35" s="262"/>
      <c r="S35" s="262"/>
      <c r="T35" s="262"/>
      <c r="U35" s="381"/>
      <c r="V35" s="381"/>
      <c r="W35" s="381"/>
      <c r="X35" s="382"/>
    </row>
    <row r="36" spans="1:24" s="40" customFormat="1" ht="12.6" customHeight="1" x14ac:dyDescent="0.25">
      <c r="A36" s="2"/>
      <c r="B36" s="192"/>
      <c r="C36" s="193" t="s">
        <v>166</v>
      </c>
      <c r="D36" s="887">
        <v>0.188</v>
      </c>
      <c r="E36" s="1017"/>
      <c r="F36" s="1025">
        <f>D36</f>
        <v>0.188</v>
      </c>
      <c r="G36" s="1019"/>
      <c r="H36" s="1025">
        <f>F36</f>
        <v>0.188</v>
      </c>
      <c r="I36" s="1017"/>
      <c r="J36" s="1025">
        <f>H36</f>
        <v>0.188</v>
      </c>
      <c r="K36" s="1017"/>
      <c r="L36" s="43"/>
      <c r="M36" s="328"/>
      <c r="N36" s="262"/>
      <c r="O36" s="262"/>
      <c r="P36" s="262"/>
      <c r="Q36" s="262"/>
      <c r="R36" s="262"/>
      <c r="S36" s="262"/>
      <c r="T36" s="262"/>
      <c r="U36" s="381"/>
      <c r="V36" s="381"/>
      <c r="W36" s="381"/>
      <c r="X36" s="382"/>
    </row>
    <row r="37" spans="1:24" s="40" customFormat="1" ht="12.6" customHeight="1" x14ac:dyDescent="0.25">
      <c r="A37"/>
      <c r="B37" s="192"/>
      <c r="C37" s="193" t="s">
        <v>167</v>
      </c>
      <c r="D37" s="1020">
        <f>IF(D35&gt;0,D35*D36,(D13+D14)*D15*D36)</f>
        <v>0</v>
      </c>
      <c r="E37" s="1006"/>
      <c r="F37" s="1020">
        <f>IF(F35&gt;0,F35*F36,(F13+F14)*F15*F36)</f>
        <v>0</v>
      </c>
      <c r="G37" s="1021"/>
      <c r="H37" s="1020">
        <f>IF(H35&gt;0,H35*H36,(H13+H14)*H15*H36)</f>
        <v>0</v>
      </c>
      <c r="I37" s="1006"/>
      <c r="J37" s="1020">
        <f>IF(J35&gt;0,J35*J36,(J13+J14)*J15*J36)</f>
        <v>0</v>
      </c>
      <c r="K37" s="1006"/>
      <c r="L37" s="43"/>
      <c r="M37" s="328"/>
      <c r="N37" s="262"/>
      <c r="O37" s="262"/>
      <c r="P37" s="262"/>
      <c r="Q37" s="262"/>
      <c r="R37" s="262" t="s">
        <v>168</v>
      </c>
      <c r="S37" s="262"/>
      <c r="T37" s="262"/>
      <c r="U37" s="381"/>
      <c r="V37" s="381"/>
      <c r="W37" s="381"/>
      <c r="X37" s="382"/>
    </row>
    <row r="38" spans="1:24" s="40" customFormat="1" ht="12.6" customHeight="1" x14ac:dyDescent="0.2">
      <c r="A38" s="41"/>
      <c r="B38" s="192"/>
      <c r="C38" s="193" t="s">
        <v>169</v>
      </c>
      <c r="D38" s="1005">
        <v>0</v>
      </c>
      <c r="E38" s="1006"/>
      <c r="F38" s="1005">
        <f>D38</f>
        <v>0</v>
      </c>
      <c r="G38" s="1021"/>
      <c r="H38" s="1005">
        <f>F38</f>
        <v>0</v>
      </c>
      <c r="I38" s="1006"/>
      <c r="J38" s="1005">
        <f>H38</f>
        <v>0</v>
      </c>
      <c r="K38" s="1006"/>
      <c r="L38" s="43"/>
      <c r="M38" s="328"/>
      <c r="N38" s="262"/>
      <c r="O38" s="262"/>
      <c r="P38" s="262"/>
      <c r="Q38" s="262"/>
      <c r="R38" s="262"/>
      <c r="S38" s="262"/>
      <c r="T38" s="262"/>
      <c r="U38" s="381"/>
      <c r="V38" s="381"/>
      <c r="W38" s="381"/>
      <c r="X38" s="382"/>
    </row>
    <row r="39" spans="1:24" s="4" customFormat="1" x14ac:dyDescent="0.25">
      <c r="A39"/>
      <c r="B39" s="191"/>
      <c r="C39" s="1640" t="s">
        <v>170</v>
      </c>
      <c r="D39" s="1020">
        <f>(D40)*(D17+D24+D22+D28)</f>
        <v>0</v>
      </c>
      <c r="E39" s="1016"/>
      <c r="F39" s="1020">
        <f>(F40)*(F17+F24+F22+F28)</f>
        <v>0</v>
      </c>
      <c r="G39" s="1026"/>
      <c r="H39" s="1020">
        <f>(H40)*(H17+H24+H22+H28)</f>
        <v>0</v>
      </c>
      <c r="I39" s="1016"/>
      <c r="J39" s="1020">
        <f>(J40)*(J17+J24+J22+J28)</f>
        <v>0</v>
      </c>
      <c r="K39" s="1016"/>
      <c r="L39" s="26"/>
      <c r="M39" s="328">
        <v>0</v>
      </c>
      <c r="N39" s="262"/>
      <c r="O39" s="262"/>
      <c r="P39" s="262"/>
      <c r="Q39" s="262"/>
      <c r="R39" s="262"/>
      <c r="S39" s="262"/>
      <c r="T39" s="262"/>
      <c r="U39" s="381"/>
      <c r="V39" s="381"/>
      <c r="W39" s="381"/>
      <c r="X39" s="382"/>
    </row>
    <row r="40" spans="1:24" s="40" customFormat="1" ht="12.6" customHeight="1" x14ac:dyDescent="0.2">
      <c r="A40" s="41"/>
      <c r="B40" s="192"/>
      <c r="C40" s="193" t="s">
        <v>171</v>
      </c>
      <c r="D40" s="887">
        <v>2.81E-2</v>
      </c>
      <c r="E40" s="1017"/>
      <c r="F40" s="1018">
        <f>D40</f>
        <v>2.81E-2</v>
      </c>
      <c r="G40" s="1019"/>
      <c r="H40" s="1018">
        <f>F40</f>
        <v>2.81E-2</v>
      </c>
      <c r="I40" s="1017"/>
      <c r="J40" s="1018">
        <f>H40</f>
        <v>2.81E-2</v>
      </c>
      <c r="K40" s="1017"/>
      <c r="L40" s="43"/>
      <c r="M40" s="328"/>
      <c r="N40" s="262"/>
      <c r="O40" s="262"/>
      <c r="P40" s="262"/>
      <c r="Q40" s="262"/>
      <c r="R40" s="262"/>
      <c r="S40" s="262"/>
      <c r="T40" s="262"/>
      <c r="U40" s="381"/>
      <c r="V40" s="381"/>
      <c r="W40" s="381"/>
      <c r="X40" s="382"/>
    </row>
    <row r="41" spans="1:24" s="40" customFormat="1" ht="12.6" customHeight="1" x14ac:dyDescent="0.25">
      <c r="A41" s="2"/>
      <c r="B41" s="192"/>
      <c r="C41" s="1641" t="s">
        <v>172</v>
      </c>
      <c r="D41" s="895">
        <f>1.7%*D35+1.53%*(D12+D14*D15)</f>
        <v>0</v>
      </c>
      <c r="E41" s="1016"/>
      <c r="F41" s="895">
        <f>1.7%*F35+1.53%*(F12+F14*F15)</f>
        <v>0</v>
      </c>
      <c r="G41" s="1027"/>
      <c r="H41" s="895">
        <f>1.7%*H35+1.53%*(H12+H14*H15)</f>
        <v>0</v>
      </c>
      <c r="I41" s="1016"/>
      <c r="J41" s="895">
        <f>1.7%*J35+1.53%*(J12+J14*J15)</f>
        <v>0</v>
      </c>
      <c r="K41" s="1016"/>
      <c r="L41" s="43"/>
      <c r="M41" s="1682"/>
      <c r="P41" s="262"/>
      <c r="Q41" s="262"/>
      <c r="R41" s="262"/>
      <c r="S41" s="262"/>
      <c r="T41" s="262"/>
      <c r="U41" s="381"/>
      <c r="V41" s="381"/>
      <c r="W41" s="381"/>
      <c r="X41" s="382"/>
    </row>
    <row r="42" spans="1:24" s="40" customFormat="1" ht="12.6" customHeight="1" x14ac:dyDescent="0.2">
      <c r="A42" s="41"/>
      <c r="B42" s="192"/>
      <c r="C42" s="1641" t="s">
        <v>173</v>
      </c>
      <c r="D42" s="1028">
        <f>0.008*'2. T7 LAINAT'!$F32</f>
        <v>0</v>
      </c>
      <c r="E42" s="1029"/>
      <c r="F42" s="1028">
        <f>D42+D42*M42</f>
        <v>0</v>
      </c>
      <c r="G42" s="1030"/>
      <c r="H42" s="1028">
        <f>F42+F42*N42</f>
        <v>0</v>
      </c>
      <c r="I42" s="1029"/>
      <c r="J42" s="1028">
        <f>H42+H42*O42</f>
        <v>0</v>
      </c>
      <c r="K42" s="1016"/>
      <c r="L42" s="43"/>
      <c r="M42" s="331">
        <v>0.03</v>
      </c>
      <c r="N42" s="331">
        <f>M42</f>
        <v>0.03</v>
      </c>
      <c r="O42" s="331">
        <f>N42</f>
        <v>0.03</v>
      </c>
      <c r="P42" s="262"/>
      <c r="Q42" s="262"/>
      <c r="R42" s="262"/>
      <c r="S42" s="262"/>
      <c r="T42" s="262"/>
      <c r="U42" s="381"/>
      <c r="V42" s="381"/>
      <c r="W42" s="381"/>
      <c r="X42" s="382"/>
    </row>
    <row r="43" spans="1:24" s="40" customFormat="1" ht="12.6" customHeight="1" x14ac:dyDescent="0.25">
      <c r="A43"/>
      <c r="B43" s="192"/>
      <c r="C43" s="1640" t="s">
        <v>174</v>
      </c>
      <c r="D43" s="893">
        <v>0</v>
      </c>
      <c r="E43" s="1016"/>
      <c r="F43" s="893">
        <f>D43+D43*M43</f>
        <v>0</v>
      </c>
      <c r="G43" s="1016"/>
      <c r="H43" s="893">
        <f>F43+F43*N43</f>
        <v>0</v>
      </c>
      <c r="I43" s="1016"/>
      <c r="J43" s="893">
        <f>H43+H43*O43</f>
        <v>0</v>
      </c>
      <c r="K43" s="1016"/>
      <c r="L43" s="43"/>
      <c r="M43" s="331">
        <v>0.03</v>
      </c>
      <c r="N43" s="331">
        <f>M43</f>
        <v>0.03</v>
      </c>
      <c r="O43" s="331">
        <f>N43</f>
        <v>0.03</v>
      </c>
      <c r="P43" s="262"/>
      <c r="Q43" s="262"/>
      <c r="R43" s="262"/>
      <c r="S43" s="262"/>
      <c r="T43" s="262"/>
      <c r="U43" s="381"/>
      <c r="V43" s="381"/>
      <c r="W43" s="381"/>
      <c r="X43" s="382"/>
    </row>
    <row r="44" spans="1:24" s="40" customFormat="1" ht="12.6" customHeight="1" thickBot="1" x14ac:dyDescent="0.25">
      <c r="A44" s="41"/>
      <c r="B44" s="194"/>
      <c r="C44" s="1642" t="s">
        <v>175</v>
      </c>
      <c r="D44" s="1031">
        <f>D31+D11</f>
        <v>0</v>
      </c>
      <c r="E44" s="1032">
        <v>100</v>
      </c>
      <c r="F44" s="1031">
        <f>F31+F11</f>
        <v>0</v>
      </c>
      <c r="G44" s="1032">
        <v>100</v>
      </c>
      <c r="H44" s="1031">
        <f>H31+H11</f>
        <v>0</v>
      </c>
      <c r="I44" s="1032">
        <v>100</v>
      </c>
      <c r="J44" s="1031">
        <f>J31+J11</f>
        <v>0</v>
      </c>
      <c r="K44" s="1032">
        <v>100</v>
      </c>
      <c r="L44" s="43"/>
      <c r="M44" s="328"/>
      <c r="N44" s="262"/>
      <c r="O44" s="262"/>
      <c r="P44" s="262"/>
      <c r="Q44" s="262"/>
      <c r="R44" s="262"/>
      <c r="S44" s="262"/>
      <c r="T44" s="262"/>
      <c r="U44" s="381"/>
      <c r="V44" s="381"/>
      <c r="W44" s="381"/>
      <c r="X44" s="382"/>
    </row>
    <row r="45" spans="1:24" s="1" customFormat="1" ht="13.8" thickBot="1" x14ac:dyDescent="0.3">
      <c r="A45"/>
      <c r="B45" s="189">
        <v>3</v>
      </c>
      <c r="C45" s="197" t="s">
        <v>176</v>
      </c>
      <c r="D45" s="1033">
        <f>D46+D52+D65+D71+D76+D82+D86+D90+D93+D94+D95+D101+D106+D111+D114+D119+D123+D124+D125+D126+D128+D129+D130+D127</f>
        <v>0</v>
      </c>
      <c r="E45" s="1034">
        <v>100</v>
      </c>
      <c r="F45" s="1035">
        <f>F46+F52+F65+F71+F76+F82+F86+F90+F93+F94+F95+F101+F106+F111+F114+F119+F123+F124+F125+F126+F128+F129+F130+F127</f>
        <v>0</v>
      </c>
      <c r="G45" s="1036">
        <v>100</v>
      </c>
      <c r="H45" s="1035">
        <f>H46+H52+H65+H71+H76+H82+H86+H90+H93+H94+H95+H101+H106+H111+H114+H119+H123+H124+H125+H126+H128+H129+H130+H127</f>
        <v>0</v>
      </c>
      <c r="I45" s="1036">
        <v>100</v>
      </c>
      <c r="J45" s="1035">
        <f>J46+J52+J65+J71+J76+J82+J86+J90+J93+J94+J95+J101+J106+J111+J114+J119+J123+J124+J125+J126+J128+J129+J130+J127</f>
        <v>0</v>
      </c>
      <c r="K45" s="1036">
        <v>100</v>
      </c>
      <c r="L45" s="3"/>
      <c r="M45" s="328"/>
      <c r="N45" s="262"/>
      <c r="O45" s="262"/>
      <c r="P45" s="262"/>
      <c r="Q45" s="262"/>
      <c r="R45" s="262"/>
      <c r="S45" s="262"/>
      <c r="T45" s="262"/>
      <c r="U45" s="381"/>
      <c r="V45" s="381"/>
      <c r="W45" s="381"/>
      <c r="X45" s="382"/>
    </row>
    <row r="46" spans="1:24" s="4" customFormat="1" ht="12.75" customHeight="1" x14ac:dyDescent="0.25">
      <c r="A46" s="41"/>
      <c r="B46" s="191" t="s">
        <v>3</v>
      </c>
      <c r="C46" s="198" t="s">
        <v>177</v>
      </c>
      <c r="D46" s="1037">
        <f>SUM(D47:D51)</f>
        <v>0</v>
      </c>
      <c r="E46" s="1038">
        <f>IF(D$45=0,0,100*D46/D$45)</f>
        <v>0</v>
      </c>
      <c r="F46" s="1037">
        <f>SUM(F47:F51)</f>
        <v>0</v>
      </c>
      <c r="G46" s="1038">
        <f>IF(F$45=0,0,100*F46/F$45)</f>
        <v>0</v>
      </c>
      <c r="H46" s="1037">
        <f>SUM(H47:H51)</f>
        <v>0</v>
      </c>
      <c r="I46" s="1038">
        <f>IF(H$45=0,0,100*H46/H$45)</f>
        <v>0</v>
      </c>
      <c r="J46" s="1037">
        <f>SUM(J47:J51)</f>
        <v>0</v>
      </c>
      <c r="K46" s="1038">
        <f>IF(J$45=0,0,100*J46/J$45)</f>
        <v>0</v>
      </c>
      <c r="L46" s="39"/>
      <c r="M46" s="238">
        <f>F$8</f>
        <v>2025</v>
      </c>
      <c r="N46" s="238">
        <f>H$8</f>
        <v>2026</v>
      </c>
      <c r="O46" s="238">
        <f>J$8</f>
        <v>2027</v>
      </c>
      <c r="P46" s="262"/>
      <c r="Q46" s="262"/>
      <c r="R46" s="262"/>
      <c r="S46" s="262"/>
      <c r="T46" s="262"/>
      <c r="U46" s="381"/>
      <c r="V46" s="381"/>
      <c r="W46" s="381"/>
      <c r="X46" s="382"/>
    </row>
    <row r="47" spans="1:24" s="40" customFormat="1" ht="12.6" customHeight="1" x14ac:dyDescent="0.25">
      <c r="A47" s="2"/>
      <c r="B47" s="192"/>
      <c r="C47" s="193" t="s">
        <v>178</v>
      </c>
      <c r="D47" s="1005">
        <v>0</v>
      </c>
      <c r="E47" s="1006"/>
      <c r="F47" s="1005">
        <f>D47+D47*M47</f>
        <v>0</v>
      </c>
      <c r="G47" s="1006"/>
      <c r="H47" s="1005">
        <f>F47+F47*N47</f>
        <v>0</v>
      </c>
      <c r="I47" s="1006"/>
      <c r="J47" s="1005">
        <f>H47+H47*O47</f>
        <v>0</v>
      </c>
      <c r="K47" s="1006"/>
      <c r="L47" s="44"/>
      <c r="M47" s="331">
        <v>0.03</v>
      </c>
      <c r="N47" s="331">
        <f t="shared" ref="N47:O51" si="0">M47</f>
        <v>0.03</v>
      </c>
      <c r="O47" s="331">
        <f t="shared" si="0"/>
        <v>0.03</v>
      </c>
      <c r="P47" s="262"/>
      <c r="Q47" s="262"/>
      <c r="R47" s="262"/>
      <c r="S47" s="262"/>
      <c r="T47" s="262"/>
      <c r="U47" s="381"/>
      <c r="V47" s="381"/>
      <c r="W47" s="381"/>
      <c r="X47" s="382"/>
    </row>
    <row r="48" spans="1:24" s="40" customFormat="1" ht="12.6" customHeight="1" x14ac:dyDescent="0.2">
      <c r="A48" s="41"/>
      <c r="B48" s="192"/>
      <c r="C48" s="193" t="s">
        <v>179</v>
      </c>
      <c r="D48" s="1005">
        <v>0</v>
      </c>
      <c r="E48" s="1006"/>
      <c r="F48" s="1005">
        <f>D48+D48*M48</f>
        <v>0</v>
      </c>
      <c r="G48" s="1006"/>
      <c r="H48" s="1005">
        <f>F48+F48*N48</f>
        <v>0</v>
      </c>
      <c r="I48" s="1006"/>
      <c r="J48" s="1005">
        <f>H48+H48*O48</f>
        <v>0</v>
      </c>
      <c r="K48" s="1006"/>
      <c r="L48" s="43"/>
      <c r="M48" s="331">
        <v>0.03</v>
      </c>
      <c r="N48" s="331">
        <f t="shared" si="0"/>
        <v>0.03</v>
      </c>
      <c r="O48" s="331">
        <f t="shared" si="0"/>
        <v>0.03</v>
      </c>
      <c r="P48" s="262"/>
      <c r="Q48" s="262"/>
      <c r="R48" s="262"/>
      <c r="S48" s="262"/>
      <c r="T48" s="262"/>
      <c r="U48" s="381"/>
      <c r="V48" s="381"/>
      <c r="W48" s="381"/>
      <c r="X48" s="382"/>
    </row>
    <row r="49" spans="1:24" s="40" customFormat="1" ht="12.6" customHeight="1" x14ac:dyDescent="0.25">
      <c r="A49"/>
      <c r="B49" s="192"/>
      <c r="C49" s="193" t="s">
        <v>180</v>
      </c>
      <c r="D49" s="1005">
        <v>0</v>
      </c>
      <c r="E49" s="1006"/>
      <c r="F49" s="1005">
        <f>D49+D49*M49</f>
        <v>0</v>
      </c>
      <c r="G49" s="1006"/>
      <c r="H49" s="1005">
        <f>F49+F49*N49</f>
        <v>0</v>
      </c>
      <c r="I49" s="1006"/>
      <c r="J49" s="1005">
        <f>H49+H49*O49</f>
        <v>0</v>
      </c>
      <c r="K49" s="1006"/>
      <c r="L49" s="43"/>
      <c r="M49" s="331">
        <v>0.03</v>
      </c>
      <c r="N49" s="331">
        <f t="shared" si="0"/>
        <v>0.03</v>
      </c>
      <c r="O49" s="331">
        <f t="shared" si="0"/>
        <v>0.03</v>
      </c>
      <c r="P49" s="262"/>
      <c r="Q49" s="262"/>
      <c r="R49" s="262"/>
      <c r="S49" s="262"/>
      <c r="T49" s="262"/>
      <c r="U49" s="381"/>
      <c r="V49" s="381"/>
      <c r="W49" s="381"/>
      <c r="X49" s="382"/>
    </row>
    <row r="50" spans="1:24" s="40" customFormat="1" ht="12.6" customHeight="1" x14ac:dyDescent="0.2">
      <c r="A50" s="41"/>
      <c r="B50" s="192"/>
      <c r="C50" s="193" t="s">
        <v>181</v>
      </c>
      <c r="D50" s="1005">
        <v>0</v>
      </c>
      <c r="E50" s="1006"/>
      <c r="F50" s="1005">
        <f>D50+D50*M50</f>
        <v>0</v>
      </c>
      <c r="G50" s="1006"/>
      <c r="H50" s="1005">
        <f>F50+F50*N50</f>
        <v>0</v>
      </c>
      <c r="I50" s="1006"/>
      <c r="J50" s="1005">
        <f>H50+H50*O50</f>
        <v>0</v>
      </c>
      <c r="K50" s="1006"/>
      <c r="L50" s="43"/>
      <c r="M50" s="331">
        <v>0.03</v>
      </c>
      <c r="N50" s="331">
        <f t="shared" si="0"/>
        <v>0.03</v>
      </c>
      <c r="O50" s="331">
        <f t="shared" si="0"/>
        <v>0.03</v>
      </c>
      <c r="P50" s="262"/>
      <c r="Q50" s="262"/>
      <c r="R50" s="262"/>
      <c r="S50" s="262"/>
      <c r="T50" s="262"/>
      <c r="U50" s="381"/>
      <c r="V50" s="381"/>
      <c r="W50" s="381"/>
      <c r="X50" s="382"/>
    </row>
    <row r="51" spans="1:24" s="40" customFormat="1" ht="12.6" customHeight="1" thickBot="1" x14ac:dyDescent="0.3">
      <c r="A51"/>
      <c r="B51" s="192"/>
      <c r="C51" s="202" t="s">
        <v>182</v>
      </c>
      <c r="D51" s="1005">
        <v>0</v>
      </c>
      <c r="E51" s="1039"/>
      <c r="F51" s="1005">
        <f>D51+D51*M51</f>
        <v>0</v>
      </c>
      <c r="G51" s="1039"/>
      <c r="H51" s="1040">
        <f>F51+F51*N51</f>
        <v>0</v>
      </c>
      <c r="I51" s="1039"/>
      <c r="J51" s="1040">
        <f>H51+H51*O51</f>
        <v>0</v>
      </c>
      <c r="K51" s="1039"/>
      <c r="L51" s="43"/>
      <c r="M51" s="331">
        <v>0.03</v>
      </c>
      <c r="N51" s="331">
        <f t="shared" si="0"/>
        <v>0.03</v>
      </c>
      <c r="O51" s="331">
        <f t="shared" si="0"/>
        <v>0.03</v>
      </c>
      <c r="P51" s="262"/>
      <c r="Q51" s="262"/>
      <c r="R51" s="262"/>
      <c r="S51" s="262"/>
      <c r="T51" s="262"/>
      <c r="U51" s="381"/>
      <c r="V51" s="381"/>
      <c r="W51" s="381"/>
      <c r="X51" s="382"/>
    </row>
    <row r="52" spans="1:24" s="4" customFormat="1" ht="12.75" customHeight="1" x14ac:dyDescent="0.25">
      <c r="A52" s="41"/>
      <c r="B52" s="294" t="s">
        <v>3</v>
      </c>
      <c r="C52" s="295" t="s">
        <v>183</v>
      </c>
      <c r="D52" s="1037">
        <f>D53+D56+D57+D58+D59+D60+D61+D62+D63*0.003+D64</f>
        <v>0</v>
      </c>
      <c r="E52" s="1038">
        <f>IF(D$45=0,0,100*D52/D$45)</f>
        <v>0</v>
      </c>
      <c r="F52" s="1037">
        <f>F53+F56+F57+F58+F59+F60+F61+F62+F63*0.003+F64</f>
        <v>0</v>
      </c>
      <c r="G52" s="1038">
        <f>IF(F$45=0,0,100*F52/F$45)</f>
        <v>0</v>
      </c>
      <c r="H52" s="1037">
        <f>H53+H56+H57+H58+H59+H60+H61+H62+H63*0.003+H64</f>
        <v>0</v>
      </c>
      <c r="I52" s="1038">
        <f>IF(H$45=0,0,100*H52/H$45)</f>
        <v>0</v>
      </c>
      <c r="J52" s="1037">
        <f>J53+J56+J57+J58+J59+J60+J61+J62+J63*0.003+J64</f>
        <v>0</v>
      </c>
      <c r="K52" s="1038">
        <f>IF(J$45=0,0,100*J52/J$45)</f>
        <v>0</v>
      </c>
      <c r="L52" s="39"/>
      <c r="M52" s="1678"/>
      <c r="N52" s="1677"/>
      <c r="O52" s="1677"/>
      <c r="P52" s="262"/>
      <c r="Q52" s="262"/>
      <c r="R52" s="262" t="s">
        <v>3</v>
      </c>
      <c r="S52" s="262"/>
      <c r="T52" s="262"/>
      <c r="U52" s="381"/>
      <c r="V52" s="381"/>
      <c r="W52" s="381"/>
      <c r="X52" s="382"/>
    </row>
    <row r="53" spans="1:24" s="40" customFormat="1" ht="12.6" customHeight="1" x14ac:dyDescent="0.25">
      <c r="A53" s="2"/>
      <c r="B53" s="199"/>
      <c r="C53" s="193" t="s">
        <v>184</v>
      </c>
      <c r="D53" s="1020">
        <f>D54*D55</f>
        <v>0</v>
      </c>
      <c r="E53" s="1006"/>
      <c r="F53" s="1020">
        <f>F54*F55</f>
        <v>0</v>
      </c>
      <c r="G53" s="1006"/>
      <c r="H53" s="1020">
        <f>H54*H55</f>
        <v>0</v>
      </c>
      <c r="I53" s="1006"/>
      <c r="J53" s="1020">
        <f>J54*J55</f>
        <v>0</v>
      </c>
      <c r="K53" s="1006"/>
      <c r="L53" s="44"/>
      <c r="M53" s="331">
        <v>0.03</v>
      </c>
      <c r="N53" s="331">
        <f t="shared" ref="N53:O64" si="1">M53</f>
        <v>0.03</v>
      </c>
      <c r="O53" s="331">
        <f t="shared" si="1"/>
        <v>0.03</v>
      </c>
      <c r="P53" s="262" t="s">
        <v>3</v>
      </c>
      <c r="Q53" s="262"/>
      <c r="R53" s="262"/>
      <c r="S53" s="262"/>
      <c r="T53" s="262"/>
      <c r="U53" s="381"/>
      <c r="V53" s="381"/>
      <c r="W53" s="381"/>
      <c r="X53" s="382"/>
    </row>
    <row r="54" spans="1:24" s="40" customFormat="1" ht="12.6" customHeight="1" x14ac:dyDescent="0.2">
      <c r="A54" s="41"/>
      <c r="B54" s="199"/>
      <c r="C54" s="193" t="s">
        <v>185</v>
      </c>
      <c r="D54" s="1005">
        <v>0</v>
      </c>
      <c r="E54" s="1006"/>
      <c r="F54" s="1005">
        <f>D54+D54*M54</f>
        <v>0</v>
      </c>
      <c r="G54" s="1006"/>
      <c r="H54" s="1005">
        <f>F54+F54*N54</f>
        <v>0</v>
      </c>
      <c r="I54" s="1006"/>
      <c r="J54" s="1005">
        <f>H54+H54*O54</f>
        <v>0</v>
      </c>
      <c r="K54" s="1006"/>
      <c r="L54" s="44"/>
      <c r="M54" s="1674">
        <v>0.03</v>
      </c>
      <c r="N54" s="1674">
        <f t="shared" si="1"/>
        <v>0.03</v>
      </c>
      <c r="O54" s="1674">
        <f t="shared" si="1"/>
        <v>0.03</v>
      </c>
      <c r="P54" s="262"/>
      <c r="Q54" s="262"/>
      <c r="R54" s="262"/>
      <c r="S54" s="262"/>
      <c r="T54" s="262"/>
      <c r="U54" s="381"/>
      <c r="V54" s="381"/>
      <c r="W54" s="381"/>
      <c r="X54" s="382"/>
    </row>
    <row r="55" spans="1:24" s="40" customFormat="1" ht="12.6" customHeight="1" x14ac:dyDescent="0.25">
      <c r="A55"/>
      <c r="B55" s="199"/>
      <c r="C55" s="193" t="s">
        <v>186</v>
      </c>
      <c r="D55" s="1005">
        <v>12</v>
      </c>
      <c r="E55" s="1006"/>
      <c r="F55" s="1005" t="str">
        <f>F10</f>
        <v>12</v>
      </c>
      <c r="G55" s="1006"/>
      <c r="H55" s="1005" t="str">
        <f>F55</f>
        <v>12</v>
      </c>
      <c r="I55" s="1006"/>
      <c r="J55" s="1005" t="str">
        <f>H55</f>
        <v>12</v>
      </c>
      <c r="K55" s="1006"/>
      <c r="L55" s="44"/>
      <c r="M55" s="1678"/>
      <c r="N55" s="1679"/>
      <c r="O55" s="1679"/>
      <c r="P55" s="262"/>
      <c r="Q55" s="262"/>
      <c r="R55" s="262"/>
      <c r="S55" s="262"/>
      <c r="T55" s="262"/>
      <c r="U55" s="381"/>
      <c r="V55" s="381"/>
      <c r="W55" s="381"/>
      <c r="X55" s="382"/>
    </row>
    <row r="56" spans="1:24" s="40" customFormat="1" ht="12.6" customHeight="1" x14ac:dyDescent="0.2">
      <c r="A56" s="41"/>
      <c r="B56" s="192"/>
      <c r="C56" s="193" t="s">
        <v>187</v>
      </c>
      <c r="D56" s="1005">
        <v>0</v>
      </c>
      <c r="E56" s="1006"/>
      <c r="F56" s="1005">
        <f t="shared" ref="F56:F64" si="2">D56+D56*M56</f>
        <v>0</v>
      </c>
      <c r="G56" s="1006"/>
      <c r="H56" s="1005">
        <f t="shared" ref="H56:H64" si="3">F56+F56*N56</f>
        <v>0</v>
      </c>
      <c r="I56" s="1006"/>
      <c r="J56" s="1005">
        <f t="shared" ref="J56:J64" si="4">H56+H56*O56</f>
        <v>0</v>
      </c>
      <c r="K56" s="1006"/>
      <c r="L56" s="45"/>
      <c r="M56" s="1672">
        <v>0.03</v>
      </c>
      <c r="N56" s="1672">
        <f t="shared" si="1"/>
        <v>0.03</v>
      </c>
      <c r="O56" s="1672">
        <f t="shared" si="1"/>
        <v>0.03</v>
      </c>
      <c r="P56" s="262"/>
      <c r="Q56" s="262"/>
      <c r="R56" s="262"/>
      <c r="S56" s="262"/>
      <c r="T56" s="262"/>
      <c r="U56" s="381"/>
      <c r="V56" s="381"/>
      <c r="W56" s="381"/>
      <c r="X56" s="382"/>
    </row>
    <row r="57" spans="1:24" s="40" customFormat="1" ht="12.6" customHeight="1" x14ac:dyDescent="0.25">
      <c r="A57" s="2"/>
      <c r="B57" s="192"/>
      <c r="C57" s="193" t="s">
        <v>188</v>
      </c>
      <c r="D57" s="1005">
        <v>0</v>
      </c>
      <c r="E57" s="1006"/>
      <c r="F57" s="1005">
        <f t="shared" si="2"/>
        <v>0</v>
      </c>
      <c r="G57" s="1006"/>
      <c r="H57" s="1005">
        <f t="shared" si="3"/>
        <v>0</v>
      </c>
      <c r="I57" s="1006"/>
      <c r="J57" s="1005">
        <f t="shared" si="4"/>
        <v>0</v>
      </c>
      <c r="K57" s="1006"/>
      <c r="L57" s="45"/>
      <c r="M57" s="331">
        <v>0.03</v>
      </c>
      <c r="N57" s="331">
        <f t="shared" si="1"/>
        <v>0.03</v>
      </c>
      <c r="O57" s="331">
        <f t="shared" si="1"/>
        <v>0.03</v>
      </c>
      <c r="P57" s="262"/>
      <c r="Q57" s="262"/>
      <c r="R57" s="262"/>
      <c r="S57" s="262"/>
      <c r="T57" s="262"/>
      <c r="U57" s="381"/>
      <c r="V57" s="381"/>
      <c r="W57" s="381"/>
      <c r="X57" s="382"/>
    </row>
    <row r="58" spans="1:24" s="40" customFormat="1" ht="12.6" customHeight="1" x14ac:dyDescent="0.2">
      <c r="A58" s="41"/>
      <c r="B58" s="192"/>
      <c r="C58" s="193" t="s">
        <v>189</v>
      </c>
      <c r="D58" s="1005">
        <v>0</v>
      </c>
      <c r="E58" s="1006"/>
      <c r="F58" s="1005">
        <f t="shared" si="2"/>
        <v>0</v>
      </c>
      <c r="G58" s="1006"/>
      <c r="H58" s="1005">
        <f t="shared" si="3"/>
        <v>0</v>
      </c>
      <c r="I58" s="1006"/>
      <c r="J58" s="1005">
        <f t="shared" si="4"/>
        <v>0</v>
      </c>
      <c r="K58" s="1006"/>
      <c r="L58" s="45"/>
      <c r="M58" s="331">
        <v>0.03</v>
      </c>
      <c r="N58" s="331">
        <f t="shared" si="1"/>
        <v>0.03</v>
      </c>
      <c r="O58" s="331">
        <f t="shared" si="1"/>
        <v>0.03</v>
      </c>
      <c r="P58" s="262"/>
      <c r="Q58" s="262"/>
      <c r="R58" s="262"/>
      <c r="S58" s="262"/>
      <c r="T58" s="262"/>
      <c r="U58" s="381"/>
      <c r="V58" s="381"/>
      <c r="W58" s="381"/>
      <c r="X58" s="382"/>
    </row>
    <row r="59" spans="1:24" s="40" customFormat="1" ht="12.6" customHeight="1" x14ac:dyDescent="0.2">
      <c r="A59" s="4"/>
      <c r="B59" s="192"/>
      <c r="C59" s="193" t="s">
        <v>190</v>
      </c>
      <c r="D59" s="1005">
        <v>0</v>
      </c>
      <c r="E59" s="1006"/>
      <c r="F59" s="1005">
        <f t="shared" si="2"/>
        <v>0</v>
      </c>
      <c r="G59" s="1006"/>
      <c r="H59" s="1005">
        <f t="shared" si="3"/>
        <v>0</v>
      </c>
      <c r="I59" s="1006"/>
      <c r="J59" s="1005">
        <f t="shared" si="4"/>
        <v>0</v>
      </c>
      <c r="K59" s="1006"/>
      <c r="L59" s="45"/>
      <c r="M59" s="331">
        <v>0.03</v>
      </c>
      <c r="N59" s="331">
        <f t="shared" si="1"/>
        <v>0.03</v>
      </c>
      <c r="O59" s="331">
        <f t="shared" si="1"/>
        <v>0.03</v>
      </c>
      <c r="P59" s="262"/>
      <c r="Q59" s="262"/>
      <c r="R59" s="262"/>
      <c r="S59" s="262"/>
      <c r="T59" s="262"/>
      <c r="U59" s="381"/>
      <c r="V59" s="381"/>
      <c r="W59" s="381"/>
      <c r="X59" s="382"/>
    </row>
    <row r="60" spans="1:24" s="40" customFormat="1" ht="12.6" customHeight="1" x14ac:dyDescent="0.2">
      <c r="A60" s="4"/>
      <c r="B60" s="192"/>
      <c r="C60" s="193" t="s">
        <v>191</v>
      </c>
      <c r="D60" s="1005">
        <v>0</v>
      </c>
      <c r="E60" s="1006"/>
      <c r="F60" s="1005">
        <f t="shared" si="2"/>
        <v>0</v>
      </c>
      <c r="G60" s="1006"/>
      <c r="H60" s="1005">
        <f t="shared" si="3"/>
        <v>0</v>
      </c>
      <c r="I60" s="1006"/>
      <c r="J60" s="1005">
        <f t="shared" si="4"/>
        <v>0</v>
      </c>
      <c r="K60" s="1006"/>
      <c r="L60" s="45"/>
      <c r="M60" s="331">
        <v>0.03</v>
      </c>
      <c r="N60" s="331">
        <f t="shared" si="1"/>
        <v>0.03</v>
      </c>
      <c r="O60" s="331">
        <f t="shared" si="1"/>
        <v>0.03</v>
      </c>
      <c r="P60" s="262"/>
      <c r="Q60" s="262"/>
      <c r="R60" s="262"/>
      <c r="S60" s="262"/>
      <c r="T60" s="262"/>
      <c r="U60" s="381"/>
      <c r="V60" s="381"/>
      <c r="W60" s="381"/>
      <c r="X60" s="382"/>
    </row>
    <row r="61" spans="1:24" s="40" customFormat="1" ht="12.6" customHeight="1" x14ac:dyDescent="0.2">
      <c r="B61" s="192"/>
      <c r="C61" s="193" t="s">
        <v>192</v>
      </c>
      <c r="D61" s="1005">
        <v>0</v>
      </c>
      <c r="E61" s="1006"/>
      <c r="F61" s="1005">
        <f t="shared" si="2"/>
        <v>0</v>
      </c>
      <c r="G61" s="1006"/>
      <c r="H61" s="1005">
        <f t="shared" si="3"/>
        <v>0</v>
      </c>
      <c r="I61" s="1006"/>
      <c r="J61" s="1005">
        <f t="shared" si="4"/>
        <v>0</v>
      </c>
      <c r="K61" s="1006"/>
      <c r="L61" s="45"/>
      <c r="M61" s="331">
        <v>0.03</v>
      </c>
      <c r="N61" s="331">
        <f t="shared" si="1"/>
        <v>0.03</v>
      </c>
      <c r="O61" s="331">
        <f t="shared" si="1"/>
        <v>0.03</v>
      </c>
      <c r="P61" s="262"/>
      <c r="Q61" s="262"/>
      <c r="R61" s="262"/>
      <c r="S61" s="262"/>
      <c r="T61" s="262"/>
      <c r="U61" s="381"/>
      <c r="V61" s="381"/>
      <c r="W61" s="381"/>
      <c r="X61" s="382"/>
    </row>
    <row r="62" spans="1:24" s="40" customFormat="1" ht="12.6" customHeight="1" x14ac:dyDescent="0.2">
      <c r="B62" s="192"/>
      <c r="C62" s="193" t="s">
        <v>193</v>
      </c>
      <c r="D62" s="1005">
        <v>0</v>
      </c>
      <c r="E62" s="1006"/>
      <c r="F62" s="1005">
        <f t="shared" si="2"/>
        <v>0</v>
      </c>
      <c r="G62" s="1006"/>
      <c r="H62" s="1005">
        <f t="shared" si="3"/>
        <v>0</v>
      </c>
      <c r="I62" s="1006"/>
      <c r="J62" s="1005">
        <f t="shared" si="4"/>
        <v>0</v>
      </c>
      <c r="K62" s="1006"/>
      <c r="L62" s="45"/>
      <c r="M62" s="331">
        <v>0.03</v>
      </c>
      <c r="N62" s="331">
        <f t="shared" si="1"/>
        <v>0.03</v>
      </c>
      <c r="O62" s="331">
        <f t="shared" si="1"/>
        <v>0.03</v>
      </c>
      <c r="P62" s="262"/>
      <c r="Q62" s="262"/>
      <c r="R62" s="262"/>
      <c r="S62" s="262"/>
      <c r="T62" s="262"/>
      <c r="U62" s="381"/>
      <c r="V62" s="381"/>
      <c r="W62" s="381"/>
      <c r="X62" s="382"/>
    </row>
    <row r="63" spans="1:24" s="40" customFormat="1" ht="12.6" customHeight="1" x14ac:dyDescent="0.2">
      <c r="B63" s="192"/>
      <c r="C63" s="193" t="s">
        <v>194</v>
      </c>
      <c r="D63" s="1005">
        <v>0</v>
      </c>
      <c r="E63" s="1006"/>
      <c r="F63" s="1005">
        <f t="shared" si="2"/>
        <v>0</v>
      </c>
      <c r="G63" s="1006">
        <v>0</v>
      </c>
      <c r="H63" s="1005">
        <f t="shared" si="3"/>
        <v>0</v>
      </c>
      <c r="I63" s="1006"/>
      <c r="J63" s="1005">
        <f t="shared" si="4"/>
        <v>0</v>
      </c>
      <c r="K63" s="1006"/>
      <c r="L63" s="45"/>
      <c r="M63" s="331">
        <v>0.03</v>
      </c>
      <c r="N63" s="331">
        <f t="shared" si="1"/>
        <v>0.03</v>
      </c>
      <c r="O63" s="331">
        <f t="shared" si="1"/>
        <v>0.03</v>
      </c>
      <c r="P63" s="262"/>
      <c r="Q63" s="262"/>
      <c r="R63" s="262"/>
      <c r="S63" s="262"/>
      <c r="T63" s="262"/>
      <c r="U63" s="381"/>
      <c r="V63" s="381"/>
      <c r="W63" s="381"/>
      <c r="X63" s="382"/>
    </row>
    <row r="64" spans="1:24" s="40" customFormat="1" ht="12.6" customHeight="1" thickBot="1" x14ac:dyDescent="0.25">
      <c r="B64" s="192"/>
      <c r="C64" s="200" t="s">
        <v>195</v>
      </c>
      <c r="D64" s="1005">
        <v>0</v>
      </c>
      <c r="E64" s="1041"/>
      <c r="F64" s="1005">
        <f t="shared" si="2"/>
        <v>0</v>
      </c>
      <c r="G64" s="1041"/>
      <c r="H64" s="1005">
        <f t="shared" si="3"/>
        <v>0</v>
      </c>
      <c r="I64" s="1041"/>
      <c r="J64" s="1005">
        <f t="shared" si="4"/>
        <v>0</v>
      </c>
      <c r="K64" s="1041"/>
      <c r="L64" s="45"/>
      <c r="M64" s="331">
        <v>0.03</v>
      </c>
      <c r="N64" s="331">
        <f t="shared" si="1"/>
        <v>0.03</v>
      </c>
      <c r="O64" s="331">
        <f t="shared" si="1"/>
        <v>0.03</v>
      </c>
      <c r="P64" s="262"/>
      <c r="Q64" s="262"/>
      <c r="R64" s="262"/>
      <c r="S64" s="262"/>
      <c r="T64" s="262"/>
      <c r="U64" s="381"/>
      <c r="V64" s="381"/>
      <c r="W64" s="381"/>
      <c r="X64" s="382"/>
    </row>
    <row r="65" spans="1:24" s="4" customFormat="1" ht="12.75" customHeight="1" x14ac:dyDescent="0.2">
      <c r="B65" s="191"/>
      <c r="C65" s="198" t="s">
        <v>196</v>
      </c>
      <c r="D65" s="1037">
        <f>IF(D69=0,0,PMT(D69/12,D68,(-D67+D70*D67)*D66))+D67*D70*(D69+3%)+IF(D69=0,0,D66*20)</f>
        <v>0</v>
      </c>
      <c r="E65" s="1038">
        <f>IF(D$45=0,0,100*D65/D$45)</f>
        <v>0</v>
      </c>
      <c r="F65" s="1037">
        <f>IF(F69=0,0,PMT(F69/12,F68,(-F67+F70*F67)*F66))+F67*F70*(F69+3%)+IF(F69=0,0,F66*20)</f>
        <v>0</v>
      </c>
      <c r="G65" s="1038">
        <f>IF(F$45=0,0,100*F65/F$45)</f>
        <v>0</v>
      </c>
      <c r="H65" s="1037">
        <f>IF(H69=0,0,PMT(H69/12,H68,(-H67+H70*H67)*H66))+H67*H70*(H69+3%)+IF(H69=0,0,H66*20)</f>
        <v>0</v>
      </c>
      <c r="I65" s="1038">
        <f>IF(H$45=0,0,100*H65/H$45)</f>
        <v>0</v>
      </c>
      <c r="J65" s="1037">
        <f>IF(J69=0,0,PMT(J69/12,J68,(-J67+J70*J67)*J66))+J67*J70*(J69+3%)+IF(J69=0,0,J66*20)</f>
        <v>0</v>
      </c>
      <c r="K65" s="1038">
        <f>IF(J$45=0,0,100*J65/J$45)</f>
        <v>0</v>
      </c>
      <c r="L65" s="26"/>
      <c r="M65" s="1160"/>
      <c r="N65" s="1161"/>
      <c r="O65" s="1161"/>
      <c r="P65" s="262"/>
      <c r="Q65" s="262"/>
      <c r="R65" s="262"/>
      <c r="S65" s="262"/>
      <c r="T65" s="262"/>
      <c r="U65" s="381"/>
      <c r="V65" s="381"/>
      <c r="W65" s="381"/>
      <c r="X65" s="382"/>
    </row>
    <row r="66" spans="1:24" s="4" customFormat="1" ht="12.75" customHeight="1" x14ac:dyDescent="0.2">
      <c r="B66" s="191"/>
      <c r="C66" s="193" t="s">
        <v>197</v>
      </c>
      <c r="D66" s="1042"/>
      <c r="E66" s="1043"/>
      <c r="F66" s="1042">
        <v>0</v>
      </c>
      <c r="G66" s="1043"/>
      <c r="H66" s="1042">
        <v>0</v>
      </c>
      <c r="I66" s="1043">
        <v>0</v>
      </c>
      <c r="J66" s="1042">
        <v>0</v>
      </c>
      <c r="K66" s="1006"/>
      <c r="L66" s="26"/>
      <c r="M66" s="328"/>
      <c r="N66" s="262"/>
      <c r="O66" s="262"/>
      <c r="P66" s="262"/>
      <c r="Q66" s="262"/>
      <c r="R66" s="262"/>
      <c r="S66" s="262"/>
      <c r="T66" s="262"/>
      <c r="U66" s="381"/>
      <c r="V66" s="381"/>
      <c r="W66" s="381"/>
      <c r="X66" s="382"/>
    </row>
    <row r="67" spans="1:24" s="4" customFormat="1" ht="12.75" customHeight="1" x14ac:dyDescent="0.2">
      <c r="B67" s="191"/>
      <c r="C67" s="356" t="s">
        <v>198</v>
      </c>
      <c r="D67" s="1044"/>
      <c r="E67" s="1014"/>
      <c r="F67" s="1005">
        <f>IF(F66=0,0,D67)</f>
        <v>0</v>
      </c>
      <c r="G67" s="1045"/>
      <c r="H67" s="1005">
        <f>IF(H66=0,0,F67)</f>
        <v>0</v>
      </c>
      <c r="I67" s="1045"/>
      <c r="J67" s="1005">
        <f>IF(J66=0,0,H67)</f>
        <v>0</v>
      </c>
      <c r="K67" s="1014"/>
      <c r="L67" s="26"/>
      <c r="M67" s="328"/>
      <c r="N67" s="262"/>
      <c r="O67" s="262"/>
      <c r="P67" s="262"/>
      <c r="Q67" s="262"/>
      <c r="R67" s="262"/>
      <c r="S67" s="262"/>
      <c r="T67" s="262"/>
      <c r="U67" s="381"/>
      <c r="V67" s="381"/>
      <c r="W67" s="381"/>
      <c r="X67" s="382"/>
    </row>
    <row r="68" spans="1:24" s="4" customFormat="1" ht="12.75" customHeight="1" x14ac:dyDescent="0.2">
      <c r="B68" s="191"/>
      <c r="C68" s="356" t="s">
        <v>199</v>
      </c>
      <c r="D68" s="1005"/>
      <c r="E68" s="1006"/>
      <c r="F68" s="1042">
        <f>IF(F66=0,0,D68)</f>
        <v>0</v>
      </c>
      <c r="G68" s="1006"/>
      <c r="H68" s="1042">
        <f>IF(H66=0,0,F68)</f>
        <v>0</v>
      </c>
      <c r="I68" s="1006"/>
      <c r="J68" s="1042">
        <f>IF(J66=0,0,H68)</f>
        <v>0</v>
      </c>
      <c r="K68" s="1006"/>
      <c r="L68" s="26"/>
      <c r="M68" s="328"/>
      <c r="N68" s="262"/>
      <c r="O68" s="262"/>
      <c r="P68" s="262"/>
      <c r="Q68" s="262"/>
      <c r="R68" s="262"/>
      <c r="S68" s="262"/>
      <c r="T68" s="262"/>
      <c r="U68" s="381"/>
      <c r="V68" s="381"/>
      <c r="W68" s="381"/>
      <c r="X68" s="382"/>
    </row>
    <row r="69" spans="1:24" s="4" customFormat="1" ht="12.75" customHeight="1" x14ac:dyDescent="0.2">
      <c r="B69" s="191"/>
      <c r="C69" s="356" t="s">
        <v>200</v>
      </c>
      <c r="D69" s="1046"/>
      <c r="E69" s="1006"/>
      <c r="F69" s="1046">
        <f>IF(F66=0,0,D69)</f>
        <v>0</v>
      </c>
      <c r="G69" s="1006"/>
      <c r="H69" s="1046">
        <f>IF(H66=0,0,F69)</f>
        <v>0</v>
      </c>
      <c r="I69" s="1006"/>
      <c r="J69" s="1046">
        <f>IF(J66=0,0,H69)</f>
        <v>0</v>
      </c>
      <c r="K69" s="1006"/>
      <c r="L69" s="26"/>
      <c r="M69" s="328"/>
      <c r="N69" s="262"/>
      <c r="O69" s="262"/>
      <c r="P69" s="262"/>
      <c r="Q69" s="262"/>
      <c r="R69" s="262"/>
      <c r="S69" s="262"/>
      <c r="T69" s="262"/>
      <c r="U69" s="381"/>
      <c r="V69" s="381"/>
      <c r="W69" s="381"/>
      <c r="X69" s="382"/>
    </row>
    <row r="70" spans="1:24" s="4" customFormat="1" ht="12.75" customHeight="1" thickBot="1" x14ac:dyDescent="0.25">
      <c r="B70" s="191"/>
      <c r="C70" s="356" t="s">
        <v>201</v>
      </c>
      <c r="D70" s="1046"/>
      <c r="E70" s="1014"/>
      <c r="F70" s="1046">
        <f>D70</f>
        <v>0</v>
      </c>
      <c r="G70" s="1014"/>
      <c r="H70" s="1046">
        <f>F70</f>
        <v>0</v>
      </c>
      <c r="I70" s="1014"/>
      <c r="J70" s="1046">
        <f>H70</f>
        <v>0</v>
      </c>
      <c r="K70" s="1014"/>
      <c r="L70" s="26"/>
      <c r="M70" s="1162"/>
      <c r="N70" s="752"/>
      <c r="O70" s="752"/>
      <c r="P70" s="752"/>
      <c r="Q70" s="752"/>
      <c r="R70" s="752"/>
      <c r="S70" s="752"/>
      <c r="T70" s="752"/>
      <c r="U70" s="753"/>
      <c r="V70" s="753"/>
      <c r="W70" s="753"/>
      <c r="X70" s="754"/>
    </row>
    <row r="71" spans="1:24" s="4" customFormat="1" ht="12.75" customHeight="1" x14ac:dyDescent="0.25">
      <c r="A71"/>
      <c r="B71" s="191"/>
      <c r="C71" s="198" t="s">
        <v>202</v>
      </c>
      <c r="D71" s="1037">
        <f>SUM(D72:D75)</f>
        <v>0</v>
      </c>
      <c r="E71" s="1038">
        <f>IF(D$45=0,0,100*D71/D$45)</f>
        <v>0</v>
      </c>
      <c r="F71" s="1037">
        <f>SUM(F72:F75)</f>
        <v>0</v>
      </c>
      <c r="G71" s="1038">
        <f>IF(F$45=0,0,100*F71/F$45)</f>
        <v>0</v>
      </c>
      <c r="H71" s="1037">
        <f>SUM(H72:H75)</f>
        <v>0</v>
      </c>
      <c r="I71" s="1038">
        <f>IF(H$45=0,0,100*H71/H$45)</f>
        <v>0</v>
      </c>
      <c r="J71" s="1037">
        <f>SUM(J72:J75)</f>
        <v>0</v>
      </c>
      <c r="K71" s="1038">
        <f>IF(J$45=0,0,100*J71/J$45)</f>
        <v>0</v>
      </c>
      <c r="L71" s="26"/>
      <c r="M71" s="751">
        <f>F$8</f>
        <v>2025</v>
      </c>
      <c r="N71" s="751">
        <f>H$8</f>
        <v>2026</v>
      </c>
      <c r="O71" s="751">
        <f>J$8</f>
        <v>2027</v>
      </c>
      <c r="P71" s="262"/>
      <c r="Q71" s="262"/>
      <c r="R71" s="262"/>
      <c r="S71" s="262"/>
      <c r="T71" s="262"/>
      <c r="U71" s="381"/>
      <c r="V71" s="381"/>
      <c r="W71" s="381"/>
      <c r="X71" s="382"/>
    </row>
    <row r="72" spans="1:24" s="40" customFormat="1" ht="12.6" customHeight="1" x14ac:dyDescent="0.25">
      <c r="A72"/>
      <c r="B72" s="192"/>
      <c r="C72" s="193" t="s">
        <v>203</v>
      </c>
      <c r="D72" s="1005">
        <v>0</v>
      </c>
      <c r="E72" s="1006"/>
      <c r="F72" s="1005">
        <f>D72+D72*M72</f>
        <v>0</v>
      </c>
      <c r="G72" s="1006"/>
      <c r="H72" s="1005">
        <f>F72+F72*N72</f>
        <v>0</v>
      </c>
      <c r="I72" s="1006"/>
      <c r="J72" s="1005">
        <f>H72+H72*O72</f>
        <v>0</v>
      </c>
      <c r="K72" s="1006"/>
      <c r="L72" s="43"/>
      <c r="M72" s="331">
        <v>0.03</v>
      </c>
      <c r="N72" s="331">
        <f t="shared" ref="N72:O75" si="5">M72</f>
        <v>0.03</v>
      </c>
      <c r="O72" s="331">
        <f t="shared" si="5"/>
        <v>0.03</v>
      </c>
      <c r="P72" s="262"/>
      <c r="Q72" s="262"/>
      <c r="R72" s="262"/>
      <c r="S72" s="262"/>
      <c r="T72" s="262"/>
      <c r="U72" s="381"/>
      <c r="V72" s="381"/>
      <c r="W72" s="381"/>
      <c r="X72" s="382"/>
    </row>
    <row r="73" spans="1:24" s="40" customFormat="1" ht="12.6" customHeight="1" x14ac:dyDescent="0.25">
      <c r="A73"/>
      <c r="B73" s="192"/>
      <c r="C73" s="193" t="s">
        <v>204</v>
      </c>
      <c r="D73" s="1005">
        <v>0</v>
      </c>
      <c r="E73" s="1006"/>
      <c r="F73" s="1005">
        <f>D73+D73*M73</f>
        <v>0</v>
      </c>
      <c r="G73" s="1006"/>
      <c r="H73" s="1005">
        <f>F73+F73*N73</f>
        <v>0</v>
      </c>
      <c r="I73" s="1006"/>
      <c r="J73" s="1005">
        <f>H73+H73*O73</f>
        <v>0</v>
      </c>
      <c r="K73" s="1006"/>
      <c r="L73" s="43"/>
      <c r="M73" s="331">
        <v>0.03</v>
      </c>
      <c r="N73" s="331">
        <f t="shared" si="5"/>
        <v>0.03</v>
      </c>
      <c r="O73" s="331">
        <f t="shared" si="5"/>
        <v>0.03</v>
      </c>
      <c r="P73" s="262"/>
      <c r="Q73" s="262"/>
      <c r="R73" s="262"/>
      <c r="S73" s="262"/>
      <c r="T73" s="262"/>
      <c r="U73" s="381"/>
      <c r="V73" s="381"/>
      <c r="W73" s="381"/>
      <c r="X73" s="382"/>
    </row>
    <row r="74" spans="1:24" s="40" customFormat="1" ht="12.6" customHeight="1" x14ac:dyDescent="0.25">
      <c r="A74"/>
      <c r="B74" s="192"/>
      <c r="C74" s="193" t="s">
        <v>205</v>
      </c>
      <c r="D74" s="1005">
        <v>0</v>
      </c>
      <c r="E74" s="1006"/>
      <c r="F74" s="1005">
        <f>D74+D74*M74</f>
        <v>0</v>
      </c>
      <c r="G74" s="1006"/>
      <c r="H74" s="1005">
        <f>F74+F74*N74</f>
        <v>0</v>
      </c>
      <c r="I74" s="1006"/>
      <c r="J74" s="1005">
        <f>H74+H74*O74</f>
        <v>0</v>
      </c>
      <c r="K74" s="1006"/>
      <c r="L74" s="43"/>
      <c r="M74" s="331">
        <v>0.03</v>
      </c>
      <c r="N74" s="331">
        <f t="shared" si="5"/>
        <v>0.03</v>
      </c>
      <c r="O74" s="331">
        <f t="shared" si="5"/>
        <v>0.03</v>
      </c>
      <c r="P74" s="262"/>
      <c r="Q74" s="262"/>
      <c r="R74" s="262"/>
      <c r="S74" s="262"/>
      <c r="T74" s="262"/>
      <c r="U74" s="381"/>
      <c r="V74" s="381"/>
      <c r="W74" s="381"/>
      <c r="X74" s="382"/>
    </row>
    <row r="75" spans="1:24" s="40" customFormat="1" ht="12.6" customHeight="1" thickBot="1" x14ac:dyDescent="0.3">
      <c r="A75"/>
      <c r="B75" s="192"/>
      <c r="C75" s="200" t="s">
        <v>206</v>
      </c>
      <c r="D75" s="1047">
        <v>0</v>
      </c>
      <c r="E75" s="1041"/>
      <c r="F75" s="1047">
        <f>D75+D75*M75</f>
        <v>0</v>
      </c>
      <c r="G75" s="1041"/>
      <c r="H75" s="1047">
        <f>F75+F75*N75</f>
        <v>0</v>
      </c>
      <c r="I75" s="1041"/>
      <c r="J75" s="1047">
        <f>H75+H75*O75</f>
        <v>0</v>
      </c>
      <c r="K75" s="1041"/>
      <c r="L75" s="43"/>
      <c r="M75" s="331">
        <v>0.03</v>
      </c>
      <c r="N75" s="331">
        <f t="shared" si="5"/>
        <v>0.03</v>
      </c>
      <c r="O75" s="331">
        <f t="shared" si="5"/>
        <v>0.03</v>
      </c>
      <c r="P75" s="262"/>
      <c r="R75" s="262"/>
      <c r="S75" s="262"/>
      <c r="T75" s="262"/>
      <c r="U75" s="381"/>
      <c r="V75" s="381"/>
      <c r="W75" s="381"/>
      <c r="X75" s="382"/>
    </row>
    <row r="76" spans="1:24" s="4" customFormat="1" ht="12.75" customHeight="1" x14ac:dyDescent="0.25">
      <c r="A76"/>
      <c r="B76" s="191"/>
      <c r="C76" s="201" t="s">
        <v>207</v>
      </c>
      <c r="D76" s="892">
        <f>SUM(D77:D81)</f>
        <v>0</v>
      </c>
      <c r="E76" s="1038">
        <f>IF(D$45=0,0,100*D76/D$45)</f>
        <v>0</v>
      </c>
      <c r="F76" s="892">
        <f>SUM(F77:F81)</f>
        <v>0</v>
      </c>
      <c r="G76" s="1038">
        <f>IF(F$45=0,0,100*F76/F$45)</f>
        <v>0</v>
      </c>
      <c r="H76" s="892">
        <f>SUM(H77:H81)</f>
        <v>0</v>
      </c>
      <c r="I76" s="1038">
        <f>IF(H$45=0,0,100*H76/H$45)</f>
        <v>0</v>
      </c>
      <c r="J76" s="892">
        <f>SUM(J77:J81)</f>
        <v>0</v>
      </c>
      <c r="K76" s="1038">
        <f>IF(J$45=0,0,100*J76/J$45)</f>
        <v>0</v>
      </c>
      <c r="L76" s="26"/>
      <c r="M76" s="1683"/>
      <c r="P76" s="262"/>
      <c r="Q76" s="262"/>
      <c r="R76" s="262"/>
      <c r="S76" s="262"/>
      <c r="T76" s="262"/>
      <c r="U76" s="381"/>
      <c r="V76" s="381"/>
      <c r="W76" s="381"/>
      <c r="X76" s="382"/>
    </row>
    <row r="77" spans="1:24" s="40" customFormat="1" ht="12.6" customHeight="1" x14ac:dyDescent="0.25">
      <c r="A77"/>
      <c r="B77" s="192"/>
      <c r="C77" s="193" t="s">
        <v>208</v>
      </c>
      <c r="D77" s="1005">
        <v>0</v>
      </c>
      <c r="E77" s="1006"/>
      <c r="F77" s="1005">
        <f>D77+D77*M77</f>
        <v>0</v>
      </c>
      <c r="G77" s="1006"/>
      <c r="H77" s="1005">
        <f>F77+F77*N77</f>
        <v>0</v>
      </c>
      <c r="I77" s="1006"/>
      <c r="J77" s="1005">
        <f>H77+H77*O77</f>
        <v>0</v>
      </c>
      <c r="K77" s="1006"/>
      <c r="L77" s="43"/>
      <c r="M77" s="331">
        <v>0.03</v>
      </c>
      <c r="N77" s="331">
        <f t="shared" ref="N77:O81" si="6">M77</f>
        <v>0.03</v>
      </c>
      <c r="O77" s="331">
        <f t="shared" si="6"/>
        <v>0.03</v>
      </c>
      <c r="P77" s="262"/>
      <c r="Q77" s="262"/>
      <c r="R77" s="262"/>
      <c r="S77" s="262"/>
      <c r="T77" s="262"/>
      <c r="U77" s="381"/>
      <c r="V77" s="381"/>
      <c r="W77" s="381"/>
      <c r="X77" s="382"/>
    </row>
    <row r="78" spans="1:24" s="40" customFormat="1" ht="12.6" customHeight="1" x14ac:dyDescent="0.25">
      <c r="A78"/>
      <c r="B78" s="192"/>
      <c r="C78" s="193" t="s">
        <v>209</v>
      </c>
      <c r="D78" s="1005">
        <v>0</v>
      </c>
      <c r="E78" s="1006"/>
      <c r="F78" s="1005">
        <f>D78+D78*M78</f>
        <v>0</v>
      </c>
      <c r="G78" s="1006"/>
      <c r="H78" s="1005">
        <f>F78+F78*N78</f>
        <v>0</v>
      </c>
      <c r="I78" s="1006"/>
      <c r="J78" s="1005">
        <f>H78+H78*O78</f>
        <v>0</v>
      </c>
      <c r="K78" s="1006"/>
      <c r="L78" s="43"/>
      <c r="M78" s="331">
        <v>0.03</v>
      </c>
      <c r="N78" s="331">
        <f t="shared" si="6"/>
        <v>0.03</v>
      </c>
      <c r="O78" s="331">
        <f t="shared" si="6"/>
        <v>0.03</v>
      </c>
      <c r="P78" s="262"/>
      <c r="Q78" s="262"/>
      <c r="R78" s="262"/>
      <c r="S78" s="262"/>
      <c r="T78" s="262"/>
      <c r="U78" s="381"/>
      <c r="V78" s="381"/>
      <c r="W78" s="381"/>
      <c r="X78" s="382"/>
    </row>
    <row r="79" spans="1:24" s="40" customFormat="1" ht="12.6" customHeight="1" x14ac:dyDescent="0.25">
      <c r="A79"/>
      <c r="B79" s="192"/>
      <c r="C79" s="193" t="s">
        <v>210</v>
      </c>
      <c r="D79" s="1005">
        <v>0</v>
      </c>
      <c r="E79" s="1006"/>
      <c r="F79" s="1005">
        <f>D79+D79*M79</f>
        <v>0</v>
      </c>
      <c r="G79" s="1006"/>
      <c r="H79" s="1005">
        <f>F79+F79*N79</f>
        <v>0</v>
      </c>
      <c r="I79" s="1006"/>
      <c r="J79" s="1005">
        <f>H79+H79*O79</f>
        <v>0</v>
      </c>
      <c r="K79" s="1006"/>
      <c r="L79" s="43"/>
      <c r="M79" s="331">
        <v>0.03</v>
      </c>
      <c r="N79" s="331">
        <f t="shared" si="6"/>
        <v>0.03</v>
      </c>
      <c r="O79" s="331">
        <f t="shared" si="6"/>
        <v>0.03</v>
      </c>
      <c r="P79" s="262"/>
      <c r="Q79" s="262"/>
      <c r="R79" s="262"/>
      <c r="S79" s="262"/>
      <c r="T79" s="262"/>
      <c r="U79" s="381"/>
      <c r="V79" s="381"/>
      <c r="W79" s="381"/>
      <c r="X79" s="382"/>
    </row>
    <row r="80" spans="1:24" s="40" customFormat="1" ht="12.6" customHeight="1" x14ac:dyDescent="0.25">
      <c r="A80"/>
      <c r="B80" s="192"/>
      <c r="C80" s="193" t="s">
        <v>211</v>
      </c>
      <c r="D80" s="1005">
        <v>0</v>
      </c>
      <c r="E80" s="1006"/>
      <c r="F80" s="1005">
        <f>D80+D80*M80</f>
        <v>0</v>
      </c>
      <c r="G80" s="1006"/>
      <c r="H80" s="1005">
        <f>F80+F80*N80</f>
        <v>0</v>
      </c>
      <c r="I80" s="1006"/>
      <c r="J80" s="1005">
        <f>H80+H80*O80</f>
        <v>0</v>
      </c>
      <c r="K80" s="1006"/>
      <c r="L80" s="43"/>
      <c r="M80" s="331">
        <v>0.03</v>
      </c>
      <c r="N80" s="331">
        <f t="shared" si="6"/>
        <v>0.03</v>
      </c>
      <c r="O80" s="331">
        <f t="shared" si="6"/>
        <v>0.03</v>
      </c>
      <c r="P80" s="262"/>
      <c r="Q80" s="262"/>
      <c r="R80" s="262"/>
      <c r="S80" s="262"/>
      <c r="T80" s="262"/>
      <c r="U80" s="381"/>
      <c r="V80" s="381"/>
      <c r="W80" s="381"/>
      <c r="X80" s="382"/>
    </row>
    <row r="81" spans="1:24" s="40" customFormat="1" ht="12.6" customHeight="1" thickBot="1" x14ac:dyDescent="0.3">
      <c r="A81"/>
      <c r="B81" s="192"/>
      <c r="C81" s="200" t="s">
        <v>212</v>
      </c>
      <c r="D81" s="1005">
        <v>0</v>
      </c>
      <c r="E81" s="1041"/>
      <c r="F81" s="1005">
        <f>D81+D81*M81</f>
        <v>0</v>
      </c>
      <c r="G81" s="1041"/>
      <c r="H81" s="1005">
        <f>F81+F81*N81</f>
        <v>0</v>
      </c>
      <c r="I81" s="1041"/>
      <c r="J81" s="1005">
        <f>H81+H81*O81</f>
        <v>0</v>
      </c>
      <c r="K81" s="1041"/>
      <c r="L81" s="43"/>
      <c r="M81" s="331">
        <v>0.03</v>
      </c>
      <c r="N81" s="331">
        <f t="shared" si="6"/>
        <v>0.03</v>
      </c>
      <c r="O81" s="331">
        <f t="shared" si="6"/>
        <v>0.03</v>
      </c>
      <c r="P81" s="262"/>
      <c r="Q81" s="262"/>
      <c r="R81" s="262"/>
      <c r="S81" s="262"/>
      <c r="T81" s="262"/>
      <c r="U81" s="381"/>
      <c r="V81" s="381"/>
      <c r="W81" s="381"/>
      <c r="X81" s="382"/>
    </row>
    <row r="82" spans="1:24" s="4" customFormat="1" ht="12.75" customHeight="1" x14ac:dyDescent="0.25">
      <c r="A82"/>
      <c r="B82" s="191"/>
      <c r="C82" s="201" t="s">
        <v>213</v>
      </c>
      <c r="D82" s="1037">
        <f>SUM(D83:D85)</f>
        <v>0</v>
      </c>
      <c r="E82" s="1038">
        <f>IF(D$45=0,0,100*D82/D$45)</f>
        <v>0</v>
      </c>
      <c r="F82" s="1037">
        <f>SUM(F83:F85)</f>
        <v>0</v>
      </c>
      <c r="G82" s="1038">
        <f>IF(F$45=0,0,100*F82/F$45)</f>
        <v>0</v>
      </c>
      <c r="H82" s="1037">
        <f>SUM(H83:H85)</f>
        <v>0</v>
      </c>
      <c r="I82" s="1038">
        <f>IF(H$45=0,0,100*H82/H$45)</f>
        <v>0</v>
      </c>
      <c r="J82" s="1048">
        <f>SUM(J83:J85)</f>
        <v>0</v>
      </c>
      <c r="K82" s="1038">
        <f>IF(J$45=0,0,100*J82/J$45)</f>
        <v>0</v>
      </c>
      <c r="L82" s="26"/>
      <c r="M82" s="156"/>
      <c r="P82" s="262"/>
      <c r="Q82" s="262"/>
      <c r="R82" s="262"/>
      <c r="S82" s="262"/>
      <c r="T82" s="262"/>
      <c r="U82" s="381"/>
      <c r="V82" s="381"/>
      <c r="W82" s="381"/>
      <c r="X82" s="382"/>
    </row>
    <row r="83" spans="1:24" s="40" customFormat="1" ht="12.6" customHeight="1" x14ac:dyDescent="0.25">
      <c r="A83"/>
      <c r="B83" s="192"/>
      <c r="C83" s="193" t="s">
        <v>210</v>
      </c>
      <c r="D83" s="1005">
        <v>0</v>
      </c>
      <c r="E83" s="1006"/>
      <c r="F83" s="1005">
        <f>D83+D83*M83</f>
        <v>0</v>
      </c>
      <c r="G83" s="1006"/>
      <c r="H83" s="1005">
        <f>F83+F83*N83</f>
        <v>0</v>
      </c>
      <c r="I83" s="1006"/>
      <c r="J83" s="1005">
        <f>H83+H83*O83</f>
        <v>0</v>
      </c>
      <c r="K83" s="1006"/>
      <c r="L83" s="43"/>
      <c r="M83" s="331">
        <v>0.03</v>
      </c>
      <c r="N83" s="331">
        <f t="shared" ref="N83:O85" si="7">M83</f>
        <v>0.03</v>
      </c>
      <c r="O83" s="331">
        <f t="shared" si="7"/>
        <v>0.03</v>
      </c>
      <c r="P83" s="262"/>
      <c r="Q83" s="262">
        <v>0</v>
      </c>
      <c r="R83" s="262"/>
      <c r="S83" s="262"/>
      <c r="T83" s="262"/>
      <c r="U83" s="381"/>
      <c r="V83" s="381"/>
      <c r="W83" s="381"/>
      <c r="X83" s="382"/>
    </row>
    <row r="84" spans="1:24" s="40" customFormat="1" ht="12.6" customHeight="1" x14ac:dyDescent="0.25">
      <c r="A84"/>
      <c r="B84" s="192"/>
      <c r="C84" s="193" t="s">
        <v>214</v>
      </c>
      <c r="D84" s="1005">
        <v>0</v>
      </c>
      <c r="E84" s="1006"/>
      <c r="F84" s="1005">
        <f>D84+D84*M84</f>
        <v>0</v>
      </c>
      <c r="G84" s="1006"/>
      <c r="H84" s="1005">
        <f>F84+F84*N84</f>
        <v>0</v>
      </c>
      <c r="I84" s="1006"/>
      <c r="J84" s="1005">
        <f>H84+H84*O84</f>
        <v>0</v>
      </c>
      <c r="K84" s="1006"/>
      <c r="L84" s="43"/>
      <c r="M84" s="331">
        <v>0.03</v>
      </c>
      <c r="N84" s="331">
        <f t="shared" si="7"/>
        <v>0.03</v>
      </c>
      <c r="O84" s="331">
        <f t="shared" si="7"/>
        <v>0.03</v>
      </c>
      <c r="P84" s="262"/>
      <c r="Q84" s="262"/>
      <c r="R84" s="262"/>
      <c r="S84" s="262"/>
      <c r="T84" s="262"/>
      <c r="U84" s="381"/>
      <c r="V84" s="381"/>
      <c r="W84" s="381"/>
      <c r="X84" s="382"/>
    </row>
    <row r="85" spans="1:24" s="40" customFormat="1" ht="12.6" customHeight="1" thickBot="1" x14ac:dyDescent="0.3">
      <c r="A85"/>
      <c r="B85" s="192"/>
      <c r="C85" s="200" t="s">
        <v>215</v>
      </c>
      <c r="D85" s="1005">
        <v>0</v>
      </c>
      <c r="E85" s="1041"/>
      <c r="F85" s="1005">
        <f>D85+D85*M85</f>
        <v>0</v>
      </c>
      <c r="G85" s="1041"/>
      <c r="H85" s="1005">
        <f>F85+F85*N85</f>
        <v>0</v>
      </c>
      <c r="I85" s="1041"/>
      <c r="J85" s="1005">
        <f>H85+H85*O85</f>
        <v>0</v>
      </c>
      <c r="K85" s="1041"/>
      <c r="L85" s="43"/>
      <c r="M85" s="331">
        <v>0.03</v>
      </c>
      <c r="N85" s="331">
        <f t="shared" si="7"/>
        <v>0.03</v>
      </c>
      <c r="O85" s="331">
        <f t="shared" si="7"/>
        <v>0.03</v>
      </c>
      <c r="P85" s="262"/>
      <c r="Q85" s="262"/>
      <c r="R85" s="262"/>
      <c r="S85" s="262"/>
      <c r="T85" s="262"/>
      <c r="U85" s="381"/>
      <c r="V85" s="381"/>
      <c r="W85" s="381"/>
      <c r="X85" s="382"/>
    </row>
    <row r="86" spans="1:24" s="4" customFormat="1" ht="12.75" customHeight="1" x14ac:dyDescent="0.25">
      <c r="A86"/>
      <c r="B86" s="191"/>
      <c r="C86" s="198" t="s">
        <v>216</v>
      </c>
      <c r="D86" s="1037">
        <f>SUM(D87:D89)</f>
        <v>0</v>
      </c>
      <c r="E86" s="1038">
        <f>IF(D$45=0,0,100*D86/D$45)</f>
        <v>0</v>
      </c>
      <c r="F86" s="1037">
        <f>SUM(F87:F89)</f>
        <v>0</v>
      </c>
      <c r="G86" s="1038">
        <f>IF(F$45=0,0,100*F86/F$45)</f>
        <v>0</v>
      </c>
      <c r="H86" s="1037">
        <f>SUM(H87:H89)</f>
        <v>0</v>
      </c>
      <c r="I86" s="1038">
        <f>IF(H$45=0,0,100*H86/H$45)</f>
        <v>0</v>
      </c>
      <c r="J86" s="1037">
        <f>SUM(J87:J89)</f>
        <v>0</v>
      </c>
      <c r="K86" s="1038">
        <f>IF(J$45=0,0,100*J86/J$45)</f>
        <v>0</v>
      </c>
      <c r="L86" s="26"/>
      <c r="M86" s="156"/>
      <c r="P86" s="262"/>
      <c r="Q86" s="262"/>
      <c r="R86" s="262"/>
      <c r="S86" s="262"/>
      <c r="T86" s="262"/>
      <c r="U86" s="381"/>
      <c r="V86" s="381"/>
      <c r="W86" s="381"/>
      <c r="X86" s="382"/>
    </row>
    <row r="87" spans="1:24" s="40" customFormat="1" ht="12.6" customHeight="1" x14ac:dyDescent="0.25">
      <c r="A87"/>
      <c r="B87" s="192"/>
      <c r="C87" s="193" t="s">
        <v>217</v>
      </c>
      <c r="D87" s="1005">
        <v>0</v>
      </c>
      <c r="E87" s="1006"/>
      <c r="F87" s="1005">
        <f>D87+D87*M87</f>
        <v>0</v>
      </c>
      <c r="G87" s="1006"/>
      <c r="H87" s="1005">
        <f>F87+F87*N87</f>
        <v>0</v>
      </c>
      <c r="I87" s="1006"/>
      <c r="J87" s="1005">
        <f>H87+H87*O87</f>
        <v>0</v>
      </c>
      <c r="K87" s="1006"/>
      <c r="L87" s="43"/>
      <c r="M87" s="331">
        <v>0.03</v>
      </c>
      <c r="N87" s="331">
        <f t="shared" ref="N87:O89" si="8">M87</f>
        <v>0.03</v>
      </c>
      <c r="O87" s="331">
        <f t="shared" si="8"/>
        <v>0.03</v>
      </c>
      <c r="P87" s="262"/>
      <c r="Q87" s="262"/>
      <c r="R87" s="262"/>
      <c r="S87" s="262"/>
      <c r="T87" s="262"/>
      <c r="U87" s="381"/>
      <c r="V87" s="381"/>
      <c r="W87" s="381"/>
      <c r="X87" s="382"/>
    </row>
    <row r="88" spans="1:24" s="40" customFormat="1" ht="12.6" customHeight="1" x14ac:dyDescent="0.25">
      <c r="A88"/>
      <c r="B88" s="192"/>
      <c r="C88" s="193" t="s">
        <v>218</v>
      </c>
      <c r="D88" s="1005">
        <v>0</v>
      </c>
      <c r="E88" s="1006"/>
      <c r="F88" s="1005">
        <f>D88+D88*M88</f>
        <v>0</v>
      </c>
      <c r="G88" s="1006"/>
      <c r="H88" s="1005">
        <f>F88+F88*N88</f>
        <v>0</v>
      </c>
      <c r="I88" s="1006"/>
      <c r="J88" s="1005">
        <f>H88+H88*O88</f>
        <v>0</v>
      </c>
      <c r="K88" s="1006"/>
      <c r="L88" s="43"/>
      <c r="M88" s="331">
        <v>0.03</v>
      </c>
      <c r="N88" s="331">
        <f t="shared" si="8"/>
        <v>0.03</v>
      </c>
      <c r="O88" s="331">
        <f t="shared" si="8"/>
        <v>0.03</v>
      </c>
      <c r="P88" s="262"/>
      <c r="Q88" s="262"/>
      <c r="R88" s="262"/>
      <c r="S88" s="262"/>
      <c r="T88" s="262"/>
      <c r="U88" s="381"/>
      <c r="V88" s="381"/>
      <c r="W88" s="381"/>
      <c r="X88" s="382"/>
    </row>
    <row r="89" spans="1:24" s="40" customFormat="1" ht="12.6" customHeight="1" thickBot="1" x14ac:dyDescent="0.3">
      <c r="A89"/>
      <c r="B89" s="192"/>
      <c r="C89" s="200" t="s">
        <v>219</v>
      </c>
      <c r="D89" s="1047">
        <v>0</v>
      </c>
      <c r="E89" s="1041"/>
      <c r="F89" s="1005">
        <f>D89+D89*M89</f>
        <v>0</v>
      </c>
      <c r="G89" s="1041"/>
      <c r="H89" s="1005">
        <f>F89+F89*N89</f>
        <v>0</v>
      </c>
      <c r="I89" s="1041"/>
      <c r="J89" s="1005">
        <f>H89+H89*O89</f>
        <v>0</v>
      </c>
      <c r="K89" s="1041"/>
      <c r="L89" s="43"/>
      <c r="M89" s="331">
        <v>0.03</v>
      </c>
      <c r="N89" s="331">
        <f t="shared" si="8"/>
        <v>0.03</v>
      </c>
      <c r="O89" s="331">
        <f t="shared" si="8"/>
        <v>0.03</v>
      </c>
      <c r="P89" s="262"/>
      <c r="Q89" s="262"/>
      <c r="R89" s="262"/>
      <c r="S89" s="262"/>
      <c r="T89" s="262"/>
      <c r="U89" s="381"/>
      <c r="V89" s="381"/>
      <c r="W89" s="381"/>
      <c r="X89" s="382"/>
    </row>
    <row r="90" spans="1:24" s="4" customFormat="1" ht="12.75" customHeight="1" x14ac:dyDescent="0.25">
      <c r="A90"/>
      <c r="B90" s="191"/>
      <c r="C90" s="201" t="s">
        <v>220</v>
      </c>
      <c r="D90" s="1037">
        <f>SUM(D91:D92)</f>
        <v>0</v>
      </c>
      <c r="E90" s="1038">
        <f>IF(D$45=0,0,100*D90/D$45)</f>
        <v>0</v>
      </c>
      <c r="F90" s="1037">
        <f>SUM(F91:F92)</f>
        <v>0</v>
      </c>
      <c r="G90" s="1038">
        <f>IF(F$45=0,0,100*F90/F$45)</f>
        <v>0</v>
      </c>
      <c r="H90" s="1037">
        <f>SUM(H91:H92)</f>
        <v>0</v>
      </c>
      <c r="I90" s="1038">
        <f>IF(H$45=0,0,100*H90/H$45)</f>
        <v>0</v>
      </c>
      <c r="J90" s="1037">
        <f>SUM(J91:J92)</f>
        <v>0</v>
      </c>
      <c r="K90" s="1038">
        <f>IF(J$45=0,0,100*J90/J$45)</f>
        <v>0</v>
      </c>
      <c r="L90" s="26"/>
      <c r="M90" s="156"/>
      <c r="P90" s="262"/>
      <c r="Q90" s="262"/>
      <c r="R90" s="262"/>
      <c r="S90" s="262"/>
      <c r="T90" s="262"/>
      <c r="U90" s="381"/>
      <c r="V90" s="381"/>
      <c r="W90" s="381"/>
      <c r="X90" s="382"/>
    </row>
    <row r="91" spans="1:24" s="40" customFormat="1" ht="12.6" customHeight="1" x14ac:dyDescent="0.25">
      <c r="A91"/>
      <c r="B91" s="192"/>
      <c r="C91" s="193" t="s">
        <v>221</v>
      </c>
      <c r="D91" s="1005">
        <v>0</v>
      </c>
      <c r="E91" s="1006"/>
      <c r="F91" s="1005">
        <f>D91+D91*M91</f>
        <v>0</v>
      </c>
      <c r="G91" s="1006"/>
      <c r="H91" s="1005">
        <f>F91+F91*N91</f>
        <v>0</v>
      </c>
      <c r="I91" s="1006"/>
      <c r="J91" s="1005">
        <f>H91+H91*O91</f>
        <v>0</v>
      </c>
      <c r="K91" s="1006"/>
      <c r="L91" s="43"/>
      <c r="M91" s="331">
        <v>0.03</v>
      </c>
      <c r="N91" s="331">
        <f t="shared" ref="N91:O94" si="9">M91</f>
        <v>0.03</v>
      </c>
      <c r="O91" s="331">
        <f t="shared" si="9"/>
        <v>0.03</v>
      </c>
      <c r="P91" s="262" t="s">
        <v>3</v>
      </c>
      <c r="Q91" s="262"/>
      <c r="R91" s="262" t="s">
        <v>3</v>
      </c>
      <c r="S91" s="262" t="s">
        <v>3</v>
      </c>
      <c r="T91" s="262"/>
      <c r="U91" s="381"/>
      <c r="V91" s="381"/>
      <c r="W91" s="381"/>
      <c r="X91" s="382"/>
    </row>
    <row r="92" spans="1:24" s="40" customFormat="1" ht="12.6" customHeight="1" thickBot="1" x14ac:dyDescent="0.3">
      <c r="A92"/>
      <c r="B92" s="192"/>
      <c r="C92" s="202" t="s">
        <v>222</v>
      </c>
      <c r="D92" s="1040">
        <v>0</v>
      </c>
      <c r="E92" s="1039"/>
      <c r="F92" s="1005">
        <f>D92+D92*M92</f>
        <v>0</v>
      </c>
      <c r="G92" s="1039"/>
      <c r="H92" s="1040">
        <f>F92+F92*N92</f>
        <v>0</v>
      </c>
      <c r="I92" s="1039"/>
      <c r="J92" s="1040">
        <f>H92+H92*O92</f>
        <v>0</v>
      </c>
      <c r="K92" s="1041"/>
      <c r="L92" s="43"/>
      <c r="M92" s="331">
        <v>0.03</v>
      </c>
      <c r="N92" s="331">
        <f t="shared" si="9"/>
        <v>0.03</v>
      </c>
      <c r="O92" s="331">
        <f t="shared" si="9"/>
        <v>0.03</v>
      </c>
      <c r="P92" s="262">
        <v>0</v>
      </c>
      <c r="Q92" s="262"/>
      <c r="R92" s="262"/>
      <c r="S92" s="262"/>
      <c r="T92" s="262"/>
      <c r="U92" s="381"/>
      <c r="V92" s="381"/>
      <c r="W92" s="381"/>
      <c r="X92" s="382"/>
    </row>
    <row r="93" spans="1:24" s="4" customFormat="1" ht="12.75" customHeight="1" thickBot="1" x14ac:dyDescent="0.3">
      <c r="A93"/>
      <c r="B93" s="191"/>
      <c r="C93" s="203" t="s">
        <v>223</v>
      </c>
      <c r="D93" s="1049">
        <v>0</v>
      </c>
      <c r="E93" s="1050">
        <f>IF(D$45=0,0,100*D93/D$45)</f>
        <v>0</v>
      </c>
      <c r="F93" s="1051">
        <f>D93+D93*M93</f>
        <v>0</v>
      </c>
      <c r="G93" s="1050">
        <f>IF(F$45=0,0,100*F93/F$45)</f>
        <v>0</v>
      </c>
      <c r="H93" s="1051">
        <f>F93+F93*N93</f>
        <v>0</v>
      </c>
      <c r="I93" s="1050">
        <f>IF(H$45=0,0,100*H93/H$45)</f>
        <v>0</v>
      </c>
      <c r="J93" s="1049">
        <f>H93+H93*O93</f>
        <v>0</v>
      </c>
      <c r="K93" s="1052">
        <f>IF(J$45=0,0,100*J93/J$45)</f>
        <v>0</v>
      </c>
      <c r="L93" s="26"/>
      <c r="M93" s="331">
        <v>0.03</v>
      </c>
      <c r="N93" s="331">
        <f t="shared" si="9"/>
        <v>0.03</v>
      </c>
      <c r="O93" s="331">
        <f t="shared" si="9"/>
        <v>0.03</v>
      </c>
      <c r="P93" s="262"/>
      <c r="Q93" s="262"/>
      <c r="R93" s="262"/>
      <c r="S93" s="262"/>
      <c r="T93" s="262"/>
      <c r="U93" s="381"/>
      <c r="V93" s="381"/>
      <c r="W93" s="381"/>
      <c r="X93" s="382"/>
    </row>
    <row r="94" spans="1:24" s="4" customFormat="1" ht="12.75" customHeight="1" thickBot="1" x14ac:dyDescent="0.3">
      <c r="A94"/>
      <c r="B94" s="191"/>
      <c r="C94" s="201" t="s">
        <v>224</v>
      </c>
      <c r="D94" s="1049">
        <v>0</v>
      </c>
      <c r="E94" s="1052">
        <f>IF(D$45=0,0,100*D94/D$45)</f>
        <v>0</v>
      </c>
      <c r="F94" s="1049">
        <f>D94+D94*M94</f>
        <v>0</v>
      </c>
      <c r="G94" s="1052">
        <f>IF(F$45=0,0,100*F94/F$45)</f>
        <v>0</v>
      </c>
      <c r="H94" s="1049">
        <f>F94+F94*N94</f>
        <v>0</v>
      </c>
      <c r="I94" s="1052">
        <f>IF(H$45=0,0,100*H94/H$45)</f>
        <v>0</v>
      </c>
      <c r="J94" s="1049">
        <f>H94+H94*O94</f>
        <v>0</v>
      </c>
      <c r="K94" s="1038">
        <f>IF(J$45=0,0,100*J94/J$45)</f>
        <v>0</v>
      </c>
      <c r="L94" s="26"/>
      <c r="M94" s="331">
        <v>0.03</v>
      </c>
      <c r="N94" s="331">
        <f t="shared" si="9"/>
        <v>0.03</v>
      </c>
      <c r="O94" s="331">
        <f t="shared" si="9"/>
        <v>0.03</v>
      </c>
      <c r="P94" s="262"/>
      <c r="Q94" s="262"/>
      <c r="R94" s="262"/>
      <c r="S94" s="262"/>
      <c r="T94" s="262"/>
      <c r="U94" s="381"/>
      <c r="V94" s="381"/>
      <c r="W94" s="381"/>
      <c r="X94" s="382"/>
    </row>
    <row r="95" spans="1:24" s="4" customFormat="1" ht="12.75" customHeight="1" x14ac:dyDescent="0.25">
      <c r="A95"/>
      <c r="B95" s="191"/>
      <c r="C95" s="198" t="s">
        <v>225</v>
      </c>
      <c r="D95" s="892">
        <f>SUM(D96:D100)</f>
        <v>0</v>
      </c>
      <c r="E95" s="1053">
        <f>IF(D$45=0,0,100*D95/D$45)</f>
        <v>0</v>
      </c>
      <c r="F95" s="892">
        <f>SUM(F96:F100)</f>
        <v>0</v>
      </c>
      <c r="G95" s="1053">
        <f>IF(F$45=0,0,100*F95/F$45)</f>
        <v>0</v>
      </c>
      <c r="H95" s="892">
        <f>SUM(H96:H100)</f>
        <v>0</v>
      </c>
      <c r="I95" s="1053">
        <f>IF(H$45=0,0,100*H95/H$45)</f>
        <v>0</v>
      </c>
      <c r="J95" s="892">
        <f>SUM(J96:J100)</f>
        <v>0</v>
      </c>
      <c r="K95" s="1038">
        <f>IF(J$45=0,0,100*J95/J$45)</f>
        <v>0</v>
      </c>
      <c r="L95" s="25"/>
      <c r="M95" s="156"/>
      <c r="P95" s="262"/>
      <c r="Q95" s="262"/>
      <c r="R95" s="262"/>
      <c r="S95" s="262"/>
      <c r="T95" s="262"/>
      <c r="U95" s="381"/>
      <c r="V95" s="381"/>
      <c r="W95" s="381"/>
      <c r="X95" s="382"/>
    </row>
    <row r="96" spans="1:24" s="40" customFormat="1" ht="12.6" customHeight="1" x14ac:dyDescent="0.25">
      <c r="A96"/>
      <c r="B96" s="192"/>
      <c r="C96" s="193" t="s">
        <v>226</v>
      </c>
      <c r="D96" s="1005">
        <v>0</v>
      </c>
      <c r="E96" s="1054"/>
      <c r="F96" s="1005">
        <f>D96+D96*M96</f>
        <v>0</v>
      </c>
      <c r="G96" s="1006"/>
      <c r="H96" s="1005">
        <f>F96+F96*N96</f>
        <v>0</v>
      </c>
      <c r="I96" s="1006"/>
      <c r="J96" s="1005">
        <f>H96+H96*O96</f>
        <v>0</v>
      </c>
      <c r="K96" s="1006"/>
      <c r="L96" s="45"/>
      <c r="M96" s="331">
        <v>0.03</v>
      </c>
      <c r="N96" s="331">
        <f t="shared" ref="N96:O100" si="10">M96</f>
        <v>0.03</v>
      </c>
      <c r="O96" s="331">
        <f t="shared" si="10"/>
        <v>0.03</v>
      </c>
      <c r="P96" s="262"/>
      <c r="Q96" s="262"/>
      <c r="R96" s="262"/>
      <c r="S96" s="262"/>
      <c r="T96" s="262"/>
      <c r="U96" s="381"/>
      <c r="V96" s="381"/>
      <c r="W96" s="381"/>
      <c r="X96" s="382"/>
    </row>
    <row r="97" spans="1:24" s="40" customFormat="1" ht="12.6" customHeight="1" x14ac:dyDescent="0.2">
      <c r="A97" s="41"/>
      <c r="B97" s="192"/>
      <c r="C97" s="193" t="s">
        <v>227</v>
      </c>
      <c r="D97" s="1005">
        <v>0</v>
      </c>
      <c r="E97" s="1054"/>
      <c r="F97" s="1005">
        <f>D97+D97*M97</f>
        <v>0</v>
      </c>
      <c r="G97" s="1006"/>
      <c r="H97" s="1005">
        <f>F97+F97*N97</f>
        <v>0</v>
      </c>
      <c r="I97" s="1006"/>
      <c r="J97" s="1005">
        <f>H97+H97*O97</f>
        <v>0</v>
      </c>
      <c r="K97" s="1006"/>
      <c r="L97" s="45"/>
      <c r="M97" s="331">
        <v>0.03</v>
      </c>
      <c r="N97" s="331">
        <f t="shared" si="10"/>
        <v>0.03</v>
      </c>
      <c r="O97" s="331">
        <f t="shared" si="10"/>
        <v>0.03</v>
      </c>
      <c r="P97" s="262"/>
      <c r="Q97" s="262"/>
      <c r="R97" s="262"/>
      <c r="S97" s="262"/>
      <c r="T97" s="262"/>
      <c r="U97" s="381"/>
      <c r="V97" s="381"/>
      <c r="W97" s="381"/>
      <c r="X97" s="382"/>
    </row>
    <row r="98" spans="1:24" s="40" customFormat="1" ht="12.6" customHeight="1" x14ac:dyDescent="0.25">
      <c r="A98"/>
      <c r="B98" s="192"/>
      <c r="C98" s="193" t="s">
        <v>228</v>
      </c>
      <c r="D98" s="1005">
        <v>0</v>
      </c>
      <c r="E98" s="1054"/>
      <c r="F98" s="1005">
        <f>D98+D98*M98</f>
        <v>0</v>
      </c>
      <c r="G98" s="1006"/>
      <c r="H98" s="1005">
        <f>F98+F98*N98</f>
        <v>0</v>
      </c>
      <c r="I98" s="1006"/>
      <c r="J98" s="1005">
        <f>H98+H98*O98</f>
        <v>0</v>
      </c>
      <c r="K98" s="1006"/>
      <c r="L98" s="45"/>
      <c r="M98" s="331">
        <v>0.03</v>
      </c>
      <c r="N98" s="331">
        <f t="shared" si="10"/>
        <v>0.03</v>
      </c>
      <c r="O98" s="331">
        <f t="shared" si="10"/>
        <v>0.03</v>
      </c>
      <c r="P98" s="262" t="s">
        <v>3</v>
      </c>
      <c r="Q98" s="262"/>
      <c r="R98" s="262"/>
      <c r="S98" s="262"/>
      <c r="T98" s="262"/>
      <c r="U98" s="381"/>
      <c r="V98" s="381"/>
      <c r="W98" s="381"/>
      <c r="X98" s="382"/>
    </row>
    <row r="99" spans="1:24" s="40" customFormat="1" ht="12.6" customHeight="1" x14ac:dyDescent="0.25">
      <c r="A99"/>
      <c r="B99" s="192"/>
      <c r="C99" s="193" t="s">
        <v>229</v>
      </c>
      <c r="D99" s="1005">
        <v>0</v>
      </c>
      <c r="E99" s="1054"/>
      <c r="F99" s="1005">
        <f>D99+D99*M99</f>
        <v>0</v>
      </c>
      <c r="G99" s="1006"/>
      <c r="H99" s="1005">
        <f>F99+F99*N99</f>
        <v>0</v>
      </c>
      <c r="I99" s="1006"/>
      <c r="J99" s="1005">
        <f>H99+H99*O99</f>
        <v>0</v>
      </c>
      <c r="K99" s="1006"/>
      <c r="L99" s="45"/>
      <c r="M99" s="331">
        <v>0.03</v>
      </c>
      <c r="N99" s="331">
        <f t="shared" si="10"/>
        <v>0.03</v>
      </c>
      <c r="O99" s="331">
        <f t="shared" si="10"/>
        <v>0.03</v>
      </c>
      <c r="P99" s="262"/>
      <c r="Q99" s="262"/>
      <c r="R99" s="262"/>
      <c r="S99" s="262"/>
      <c r="T99" s="262"/>
      <c r="U99" s="381"/>
      <c r="V99" s="381"/>
      <c r="W99" s="381"/>
      <c r="X99" s="382"/>
    </row>
    <row r="100" spans="1:24" s="40" customFormat="1" ht="12.6" customHeight="1" thickBot="1" x14ac:dyDescent="0.25">
      <c r="A100" s="41"/>
      <c r="B100" s="192"/>
      <c r="C100" s="200" t="s">
        <v>230</v>
      </c>
      <c r="D100" s="1005">
        <v>0</v>
      </c>
      <c r="E100" s="1055"/>
      <c r="F100" s="1005">
        <f>D100+D100*M100</f>
        <v>0</v>
      </c>
      <c r="G100" s="1039"/>
      <c r="H100" s="1040">
        <f>F100+F100*N100</f>
        <v>0</v>
      </c>
      <c r="I100" s="1039"/>
      <c r="J100" s="1040">
        <f>H100+H100*O100</f>
        <v>0</v>
      </c>
      <c r="K100" s="1039"/>
      <c r="L100" s="45"/>
      <c r="M100" s="331">
        <v>0.03</v>
      </c>
      <c r="N100" s="331">
        <f t="shared" si="10"/>
        <v>0.03</v>
      </c>
      <c r="O100" s="331">
        <f t="shared" si="10"/>
        <v>0.03</v>
      </c>
      <c r="P100" s="262"/>
      <c r="Q100" s="262"/>
      <c r="R100" s="262"/>
      <c r="S100" s="262"/>
      <c r="T100" s="262"/>
      <c r="U100" s="381"/>
      <c r="V100" s="381"/>
      <c r="W100" s="381"/>
      <c r="X100" s="382"/>
    </row>
    <row r="101" spans="1:24" s="4" customFormat="1" ht="12.75" customHeight="1" x14ac:dyDescent="0.2">
      <c r="A101" s="41"/>
      <c r="B101" s="191"/>
      <c r="C101" s="201" t="s">
        <v>231</v>
      </c>
      <c r="D101" s="1037">
        <f>SUM(D102:D105)</f>
        <v>0</v>
      </c>
      <c r="E101" s="1038">
        <f>IF(D$45=0,0,100*D101/D$45)</f>
        <v>0</v>
      </c>
      <c r="F101" s="1037">
        <f>SUM(F102:F105)</f>
        <v>0</v>
      </c>
      <c r="G101" s="1038">
        <f>IF(F$45=0,0,100*F101/F$45)</f>
        <v>0</v>
      </c>
      <c r="H101" s="1037">
        <f>SUM(H102:H105)</f>
        <v>0</v>
      </c>
      <c r="I101" s="1038">
        <f>IF(H$45=0,0,100*H101/H$45)</f>
        <v>0</v>
      </c>
      <c r="J101" s="1037">
        <f>SUM(J102:J105)</f>
        <v>0</v>
      </c>
      <c r="K101" s="1038">
        <f>IF(J$45=0,0,100*J101/J$45)</f>
        <v>0</v>
      </c>
      <c r="L101" s="26"/>
      <c r="M101" s="1683"/>
      <c r="P101" s="262"/>
      <c r="Q101" s="262"/>
      <c r="R101" s="262"/>
      <c r="S101" s="262"/>
      <c r="T101" s="262"/>
      <c r="U101" s="381"/>
      <c r="V101" s="381"/>
      <c r="W101" s="381"/>
      <c r="X101" s="382"/>
    </row>
    <row r="102" spans="1:24" s="40" customFormat="1" ht="12.6" customHeight="1" x14ac:dyDescent="0.25">
      <c r="A102"/>
      <c r="B102" s="192"/>
      <c r="C102" s="193" t="s">
        <v>232</v>
      </c>
      <c r="D102" s="1005">
        <v>0</v>
      </c>
      <c r="E102" s="1006"/>
      <c r="F102" s="1005">
        <f>D102+D102*M102</f>
        <v>0</v>
      </c>
      <c r="G102" s="1006"/>
      <c r="H102" s="1005">
        <f>F102+F102*N102</f>
        <v>0</v>
      </c>
      <c r="I102" s="1006"/>
      <c r="J102" s="1005">
        <f>H102+H102*O102</f>
        <v>0</v>
      </c>
      <c r="K102" s="1006"/>
      <c r="L102" s="43"/>
      <c r="M102" s="331">
        <v>0.03</v>
      </c>
      <c r="N102" s="331">
        <f t="shared" ref="N102:O105" si="11">M102</f>
        <v>0.03</v>
      </c>
      <c r="O102" s="331">
        <f t="shared" si="11"/>
        <v>0.03</v>
      </c>
      <c r="P102" s="262"/>
      <c r="Q102" s="262"/>
      <c r="R102" s="262"/>
      <c r="S102" s="262"/>
      <c r="T102" s="262"/>
      <c r="U102" s="381"/>
      <c r="V102" s="381"/>
      <c r="W102" s="381"/>
      <c r="X102" s="382"/>
    </row>
    <row r="103" spans="1:24" s="40" customFormat="1" ht="12.6" customHeight="1" x14ac:dyDescent="0.2">
      <c r="A103" s="41"/>
      <c r="B103" s="192"/>
      <c r="C103" s="193" t="s">
        <v>233</v>
      </c>
      <c r="D103" s="1005">
        <v>0</v>
      </c>
      <c r="E103" s="1006"/>
      <c r="F103" s="1005">
        <f>D103+D103*M103</f>
        <v>0</v>
      </c>
      <c r="G103" s="1006"/>
      <c r="H103" s="1005">
        <f>F103+F103*N103</f>
        <v>0</v>
      </c>
      <c r="I103" s="1006"/>
      <c r="J103" s="1005">
        <f>H103+H103*O103</f>
        <v>0</v>
      </c>
      <c r="K103" s="1006"/>
      <c r="L103" s="43"/>
      <c r="M103" s="331">
        <v>0.03</v>
      </c>
      <c r="N103" s="331">
        <f t="shared" si="11"/>
        <v>0.03</v>
      </c>
      <c r="O103" s="331">
        <f t="shared" si="11"/>
        <v>0.03</v>
      </c>
      <c r="P103" s="262"/>
      <c r="Q103" s="262"/>
      <c r="R103" s="262"/>
      <c r="S103" s="262"/>
      <c r="T103" s="262"/>
      <c r="U103" s="381"/>
      <c r="V103" s="381"/>
      <c r="W103" s="381"/>
      <c r="X103" s="382"/>
    </row>
    <row r="104" spans="1:24" s="40" customFormat="1" ht="12.6" customHeight="1" x14ac:dyDescent="0.25">
      <c r="A104"/>
      <c r="B104" s="192"/>
      <c r="C104" s="193" t="s">
        <v>234</v>
      </c>
      <c r="D104" s="1005">
        <v>0</v>
      </c>
      <c r="E104" s="1006"/>
      <c r="F104" s="1005">
        <f>D104+D104*M104</f>
        <v>0</v>
      </c>
      <c r="G104" s="1006"/>
      <c r="H104" s="1005">
        <f>F104+F104*N104</f>
        <v>0</v>
      </c>
      <c r="I104" s="1006"/>
      <c r="J104" s="1005">
        <f>H104+H104*O104</f>
        <v>0</v>
      </c>
      <c r="K104" s="1006"/>
      <c r="L104" s="45"/>
      <c r="M104" s="331">
        <v>0.03</v>
      </c>
      <c r="N104" s="331">
        <f t="shared" si="11"/>
        <v>0.03</v>
      </c>
      <c r="O104" s="331">
        <f t="shared" si="11"/>
        <v>0.03</v>
      </c>
      <c r="P104" s="262"/>
      <c r="Q104" s="262"/>
      <c r="R104" s="262"/>
      <c r="S104" s="262"/>
      <c r="T104" s="262"/>
      <c r="U104" s="381"/>
      <c r="V104" s="381"/>
      <c r="W104" s="381"/>
      <c r="X104" s="382"/>
    </row>
    <row r="105" spans="1:24" s="40" customFormat="1" ht="12.6" customHeight="1" thickBot="1" x14ac:dyDescent="0.25">
      <c r="A105" s="41"/>
      <c r="B105" s="192"/>
      <c r="C105" s="196" t="s">
        <v>235</v>
      </c>
      <c r="D105" s="1005">
        <v>0</v>
      </c>
      <c r="E105" s="1056"/>
      <c r="F105" s="1005">
        <f>D105+D105*M105</f>
        <v>0</v>
      </c>
      <c r="G105" s="1056"/>
      <c r="H105" s="1005">
        <f>F105+F105*N105</f>
        <v>0</v>
      </c>
      <c r="I105" s="1056"/>
      <c r="J105" s="1005">
        <f>H105+H105*O105</f>
        <v>0</v>
      </c>
      <c r="K105" s="1056"/>
      <c r="L105" s="45"/>
      <c r="M105" s="331">
        <v>0.03</v>
      </c>
      <c r="N105" s="331">
        <f t="shared" si="11"/>
        <v>0.03</v>
      </c>
      <c r="O105" s="331">
        <f t="shared" si="11"/>
        <v>0.03</v>
      </c>
      <c r="P105" s="262"/>
      <c r="Q105" s="262"/>
      <c r="R105" s="262"/>
      <c r="S105" s="262"/>
      <c r="T105" s="262"/>
      <c r="U105" s="381"/>
      <c r="V105" s="381"/>
      <c r="W105" s="381"/>
      <c r="X105" s="382"/>
    </row>
    <row r="106" spans="1:24" s="4" customFormat="1" ht="12.75" customHeight="1" x14ac:dyDescent="0.25">
      <c r="A106" s="2"/>
      <c r="B106" s="191"/>
      <c r="C106" s="198" t="s">
        <v>236</v>
      </c>
      <c r="D106" s="1037">
        <f>SUM(D107:D110)</f>
        <v>0</v>
      </c>
      <c r="E106" s="1038">
        <f>IF(D$45=0,0,100*D106/D$45)</f>
        <v>0</v>
      </c>
      <c r="F106" s="1037">
        <f>SUM(F107:F110)</f>
        <v>0</v>
      </c>
      <c r="G106" s="1038">
        <f>IF(F$45=0,0,100*F106/F$45)</f>
        <v>0</v>
      </c>
      <c r="H106" s="1037">
        <f>SUM(H107:H110)</f>
        <v>0</v>
      </c>
      <c r="I106" s="1038">
        <f>IF(H$45=0,0,100*H106/H$45)</f>
        <v>0</v>
      </c>
      <c r="J106" s="1037">
        <f>SUM(J107:J110)</f>
        <v>0</v>
      </c>
      <c r="K106" s="1038">
        <f>IF(J$45=0,0,100*J106/J$45)</f>
        <v>0</v>
      </c>
      <c r="L106" s="25"/>
      <c r="M106" s="156"/>
      <c r="P106" s="262"/>
      <c r="Q106" s="262"/>
      <c r="R106" s="262"/>
      <c r="S106" s="262"/>
      <c r="T106" s="262"/>
      <c r="U106" s="381"/>
      <c r="V106" s="381"/>
      <c r="W106" s="381"/>
      <c r="X106" s="382"/>
    </row>
    <row r="107" spans="1:24" s="40" customFormat="1" ht="12.6" customHeight="1" x14ac:dyDescent="0.2">
      <c r="A107" s="41"/>
      <c r="B107" s="192"/>
      <c r="C107" s="193" t="s">
        <v>237</v>
      </c>
      <c r="D107" s="1005">
        <v>0</v>
      </c>
      <c r="E107" s="1006"/>
      <c r="F107" s="1005">
        <f>D107+D107*M107</f>
        <v>0</v>
      </c>
      <c r="G107" s="1006"/>
      <c r="H107" s="1005">
        <f>F107+F107*N107</f>
        <v>0</v>
      </c>
      <c r="I107" s="1006"/>
      <c r="J107" s="1005">
        <f>H107+H107*O107</f>
        <v>0</v>
      </c>
      <c r="K107" s="1006"/>
      <c r="L107" s="45"/>
      <c r="M107" s="331">
        <v>0.03</v>
      </c>
      <c r="N107" s="331">
        <f t="shared" ref="N107:O110" si="12">M107</f>
        <v>0.03</v>
      </c>
      <c r="O107" s="331">
        <f t="shared" si="12"/>
        <v>0.03</v>
      </c>
      <c r="P107" s="262"/>
      <c r="Q107" s="262"/>
      <c r="R107" s="262"/>
      <c r="S107" s="262"/>
      <c r="T107" s="262"/>
      <c r="U107" s="381"/>
      <c r="V107" s="381"/>
      <c r="W107" s="381"/>
      <c r="X107" s="382"/>
    </row>
    <row r="108" spans="1:24" s="40" customFormat="1" ht="12.6" customHeight="1" x14ac:dyDescent="0.25">
      <c r="A108"/>
      <c r="B108" s="192"/>
      <c r="C108" s="193" t="s">
        <v>238</v>
      </c>
      <c r="D108" s="1005">
        <v>0</v>
      </c>
      <c r="E108" s="1006"/>
      <c r="F108" s="1005">
        <f>D108+D108*M108</f>
        <v>0</v>
      </c>
      <c r="G108" s="1006"/>
      <c r="H108" s="1005">
        <f>F108+F108*N108</f>
        <v>0</v>
      </c>
      <c r="I108" s="1006"/>
      <c r="J108" s="1005">
        <f>H108+H108*O108</f>
        <v>0</v>
      </c>
      <c r="K108" s="1006"/>
      <c r="L108" s="45"/>
      <c r="M108" s="331">
        <v>0.03</v>
      </c>
      <c r="N108" s="331">
        <f t="shared" si="12"/>
        <v>0.03</v>
      </c>
      <c r="O108" s="331">
        <f t="shared" si="12"/>
        <v>0.03</v>
      </c>
      <c r="P108" s="262"/>
      <c r="Q108" s="262"/>
      <c r="R108" s="262"/>
      <c r="S108" s="262"/>
      <c r="T108" s="262"/>
      <c r="U108" s="381"/>
      <c r="V108" s="381"/>
      <c r="W108" s="381"/>
      <c r="X108" s="382"/>
    </row>
    <row r="109" spans="1:24" s="40" customFormat="1" ht="12.6" customHeight="1" x14ac:dyDescent="0.2">
      <c r="A109" s="41"/>
      <c r="B109" s="192"/>
      <c r="C109" s="193" t="s">
        <v>239</v>
      </c>
      <c r="D109" s="1005">
        <v>0</v>
      </c>
      <c r="E109" s="1006"/>
      <c r="F109" s="1005">
        <f>D109+D109*M109</f>
        <v>0</v>
      </c>
      <c r="G109" s="1006"/>
      <c r="H109" s="1005">
        <f>F109+F109*N109</f>
        <v>0</v>
      </c>
      <c r="I109" s="1006"/>
      <c r="J109" s="1005">
        <f>H109+H109*O109</f>
        <v>0</v>
      </c>
      <c r="K109" s="1006"/>
      <c r="L109" s="45"/>
      <c r="M109" s="331">
        <v>0.03</v>
      </c>
      <c r="N109" s="331">
        <f t="shared" si="12"/>
        <v>0.03</v>
      </c>
      <c r="O109" s="331">
        <f t="shared" si="12"/>
        <v>0.03</v>
      </c>
      <c r="P109" s="262"/>
      <c r="Q109" s="262"/>
      <c r="R109" s="262"/>
      <c r="S109" s="262"/>
      <c r="T109" s="262"/>
      <c r="U109" s="381"/>
      <c r="V109" s="381"/>
      <c r="W109" s="381"/>
      <c r="X109" s="382"/>
    </row>
    <row r="110" spans="1:24" s="40" customFormat="1" ht="12.6" customHeight="1" thickBot="1" x14ac:dyDescent="0.3">
      <c r="A110"/>
      <c r="B110" s="192"/>
      <c r="C110" s="202" t="s">
        <v>240</v>
      </c>
      <c r="D110" s="1005">
        <v>0</v>
      </c>
      <c r="E110" s="1039"/>
      <c r="F110" s="1005">
        <f>D110+D110*M110</f>
        <v>0</v>
      </c>
      <c r="G110" s="1039"/>
      <c r="H110" s="1005">
        <f>F110+F110*N110</f>
        <v>0</v>
      </c>
      <c r="I110" s="1039"/>
      <c r="J110" s="1005">
        <f>H110+H110*O110</f>
        <v>0</v>
      </c>
      <c r="K110" s="1039"/>
      <c r="L110" s="45"/>
      <c r="M110" s="331">
        <v>0.03</v>
      </c>
      <c r="N110" s="331">
        <f t="shared" si="12"/>
        <v>0.03</v>
      </c>
      <c r="O110" s="331">
        <f t="shared" si="12"/>
        <v>0.03</v>
      </c>
      <c r="P110" s="262"/>
      <c r="Q110" s="262"/>
      <c r="R110" s="262"/>
      <c r="S110" s="262"/>
      <c r="T110" s="262"/>
      <c r="U110" s="381"/>
      <c r="V110" s="381"/>
      <c r="W110" s="381"/>
      <c r="X110" s="382"/>
    </row>
    <row r="111" spans="1:24" s="4" customFormat="1" ht="12.75" customHeight="1" x14ac:dyDescent="0.2">
      <c r="A111" s="41"/>
      <c r="B111" s="191"/>
      <c r="C111" s="198" t="s">
        <v>241</v>
      </c>
      <c r="D111" s="1037">
        <f>SUM(D112:D113)</f>
        <v>0</v>
      </c>
      <c r="E111" s="1038">
        <f>IF(D$45=0,0,100*D111/D$45)</f>
        <v>0</v>
      </c>
      <c r="F111" s="1037">
        <f>SUM(F112:F113)</f>
        <v>0</v>
      </c>
      <c r="G111" s="1038">
        <f>IF(F$45=0,0,100*F111/F$45)</f>
        <v>0</v>
      </c>
      <c r="H111" s="1037">
        <f>SUM(H112:H113)</f>
        <v>0</v>
      </c>
      <c r="I111" s="1038">
        <f>IF(H$45=0,0,100*H111/H$45)</f>
        <v>0</v>
      </c>
      <c r="J111" s="1037">
        <f>SUM(J112:J113)</f>
        <v>0</v>
      </c>
      <c r="K111" s="1038">
        <f>IF(J$45=0,0,100*J111/J$45)</f>
        <v>0</v>
      </c>
      <c r="L111" s="25"/>
      <c r="M111" s="156"/>
      <c r="P111" s="262"/>
      <c r="Q111" s="262"/>
      <c r="R111" s="262"/>
      <c r="S111" s="262"/>
      <c r="T111" s="262"/>
      <c r="U111" s="381"/>
      <c r="V111" s="381"/>
      <c r="W111" s="381"/>
      <c r="X111" s="382"/>
    </row>
    <row r="112" spans="1:24" s="40" customFormat="1" ht="12.6" customHeight="1" x14ac:dyDescent="0.25">
      <c r="A112" s="2"/>
      <c r="B112" s="192"/>
      <c r="C112" s="193" t="s">
        <v>242</v>
      </c>
      <c r="D112" s="1005">
        <v>0</v>
      </c>
      <c r="E112" s="1006"/>
      <c r="F112" s="1005">
        <f>D112+D112*M112</f>
        <v>0</v>
      </c>
      <c r="G112" s="1006"/>
      <c r="H112" s="1005">
        <f>F112+F112*N112</f>
        <v>0</v>
      </c>
      <c r="I112" s="1006"/>
      <c r="J112" s="1005">
        <f>H112+H112*O112</f>
        <v>0</v>
      </c>
      <c r="K112" s="1006"/>
      <c r="L112" s="45"/>
      <c r="M112" s="331">
        <v>0.03</v>
      </c>
      <c r="N112" s="331">
        <f>M112</f>
        <v>0.03</v>
      </c>
      <c r="O112" s="331">
        <f>N112</f>
        <v>0.03</v>
      </c>
      <c r="P112" s="262"/>
      <c r="Q112" s="262"/>
      <c r="R112" s="262"/>
      <c r="S112" s="262"/>
      <c r="T112" s="262"/>
      <c r="U112" s="381"/>
      <c r="V112" s="381"/>
      <c r="W112" s="381"/>
      <c r="X112" s="382"/>
    </row>
    <row r="113" spans="1:24" s="40" customFormat="1" ht="12.6" customHeight="1" thickBot="1" x14ac:dyDescent="0.25">
      <c r="A113" s="41"/>
      <c r="B113" s="192"/>
      <c r="C113" s="200" t="s">
        <v>243</v>
      </c>
      <c r="D113" s="1005">
        <v>0</v>
      </c>
      <c r="E113" s="1041"/>
      <c r="F113" s="1005">
        <f>D113+D113*M113</f>
        <v>0</v>
      </c>
      <c r="G113" s="1041"/>
      <c r="H113" s="1005">
        <f>F113+F113*N113</f>
        <v>0</v>
      </c>
      <c r="I113" s="1041"/>
      <c r="J113" s="1005">
        <f>H113+H113*O113</f>
        <v>0</v>
      </c>
      <c r="K113" s="1041"/>
      <c r="L113" s="45"/>
      <c r="M113" s="331">
        <v>0.03</v>
      </c>
      <c r="N113" s="331">
        <f>M113</f>
        <v>0.03</v>
      </c>
      <c r="O113" s="331">
        <f>N113</f>
        <v>0.03</v>
      </c>
      <c r="P113" s="262"/>
      <c r="Q113" s="262"/>
      <c r="R113" s="262"/>
      <c r="S113" s="262"/>
      <c r="T113" s="262"/>
      <c r="U113" s="381"/>
      <c r="V113" s="381"/>
      <c r="W113" s="381"/>
      <c r="X113" s="382"/>
    </row>
    <row r="114" spans="1:24" s="4" customFormat="1" ht="12.75" customHeight="1" x14ac:dyDescent="0.25">
      <c r="A114"/>
      <c r="B114" s="191"/>
      <c r="C114" s="198" t="s">
        <v>244</v>
      </c>
      <c r="D114" s="1037">
        <f>SUM(D115:D118)</f>
        <v>0</v>
      </c>
      <c r="E114" s="1038">
        <f>IF(D$45=0,0,100*D114/D$45)</f>
        <v>0</v>
      </c>
      <c r="F114" s="1037">
        <f>SUM(F115:F118)</f>
        <v>0</v>
      </c>
      <c r="G114" s="1038">
        <f>IF(F$45=0,0,100*F114/F$45)</f>
        <v>0</v>
      </c>
      <c r="H114" s="1037">
        <f>SUM(H115:H118)</f>
        <v>0</v>
      </c>
      <c r="I114" s="1038">
        <f>IF(H$45=0,0,100*H114/H$45)</f>
        <v>0</v>
      </c>
      <c r="J114" s="1037">
        <f>SUM(J115:J118)</f>
        <v>0</v>
      </c>
      <c r="K114" s="1038">
        <f>IF(J$45=0,0,100*J114/J$45)</f>
        <v>0</v>
      </c>
      <c r="L114" s="25"/>
      <c r="M114" s="156"/>
      <c r="P114" s="262"/>
      <c r="Q114" s="262"/>
      <c r="R114" s="262"/>
      <c r="S114" s="262"/>
      <c r="T114" s="262"/>
      <c r="U114" s="381"/>
      <c r="V114" s="381"/>
      <c r="W114" s="381"/>
      <c r="X114" s="382"/>
    </row>
    <row r="115" spans="1:24" s="40" customFormat="1" ht="12.6" customHeight="1" x14ac:dyDescent="0.2">
      <c r="A115" s="41"/>
      <c r="B115" s="192"/>
      <c r="C115" s="193" t="s">
        <v>245</v>
      </c>
      <c r="D115" s="1005">
        <v>0</v>
      </c>
      <c r="E115" s="1006"/>
      <c r="F115" s="1005">
        <f>D115+D115*M115</f>
        <v>0</v>
      </c>
      <c r="G115" s="1006"/>
      <c r="H115" s="1005">
        <f>F115+F115*N115</f>
        <v>0</v>
      </c>
      <c r="I115" s="1006"/>
      <c r="J115" s="1005">
        <f>H115+H115*O115</f>
        <v>0</v>
      </c>
      <c r="K115" s="1006"/>
      <c r="L115" s="43"/>
      <c r="M115" s="331">
        <v>0.03</v>
      </c>
      <c r="N115" s="331">
        <f t="shared" ref="N115:O118" si="13">M115</f>
        <v>0.03</v>
      </c>
      <c r="O115" s="331">
        <f t="shared" si="13"/>
        <v>0.03</v>
      </c>
      <c r="P115" s="262"/>
      <c r="Q115" s="262"/>
      <c r="R115" s="262"/>
      <c r="S115" s="262"/>
      <c r="T115" s="262"/>
      <c r="U115" s="381"/>
      <c r="V115" s="381"/>
      <c r="W115" s="381"/>
      <c r="X115" s="382"/>
    </row>
    <row r="116" spans="1:24" s="40" customFormat="1" ht="12.6" customHeight="1" x14ac:dyDescent="0.25">
      <c r="A116"/>
      <c r="B116" s="192"/>
      <c r="C116" s="193" t="s">
        <v>246</v>
      </c>
      <c r="D116" s="1005">
        <v>0</v>
      </c>
      <c r="E116" s="1006"/>
      <c r="F116" s="1005">
        <f>D116+D116*M116</f>
        <v>0</v>
      </c>
      <c r="G116" s="1006"/>
      <c r="H116" s="1005">
        <f>F116+F116*N116</f>
        <v>0</v>
      </c>
      <c r="I116" s="1006"/>
      <c r="J116" s="1005">
        <f>H116+H116*O116</f>
        <v>0</v>
      </c>
      <c r="K116" s="1006"/>
      <c r="L116" s="43"/>
      <c r="M116" s="331">
        <v>0.03</v>
      </c>
      <c r="N116" s="331">
        <f t="shared" si="13"/>
        <v>0.03</v>
      </c>
      <c r="O116" s="331">
        <f t="shared" si="13"/>
        <v>0.03</v>
      </c>
      <c r="P116" s="262">
        <v>0</v>
      </c>
      <c r="Q116" s="262"/>
      <c r="R116" s="262"/>
      <c r="S116" s="262"/>
      <c r="T116" s="262"/>
      <c r="U116" s="381"/>
      <c r="V116" s="381"/>
      <c r="W116" s="381"/>
      <c r="X116" s="382"/>
    </row>
    <row r="117" spans="1:24" s="40" customFormat="1" ht="12.6" customHeight="1" x14ac:dyDescent="0.2">
      <c r="A117" s="41"/>
      <c r="B117" s="192"/>
      <c r="C117" s="193" t="s">
        <v>247</v>
      </c>
      <c r="D117" s="1005">
        <v>0</v>
      </c>
      <c r="E117" s="1006"/>
      <c r="F117" s="1005">
        <f>D117+D117*M117</f>
        <v>0</v>
      </c>
      <c r="G117" s="1006"/>
      <c r="H117" s="1005">
        <f>F117+F117*N117</f>
        <v>0</v>
      </c>
      <c r="I117" s="1006"/>
      <c r="J117" s="1005">
        <f>H117+H117*O117</f>
        <v>0</v>
      </c>
      <c r="K117" s="1006"/>
      <c r="L117" s="45"/>
      <c r="M117" s="331">
        <v>0.03</v>
      </c>
      <c r="N117" s="331">
        <f t="shared" si="13"/>
        <v>0.03</v>
      </c>
      <c r="O117" s="331">
        <f t="shared" si="13"/>
        <v>0.03</v>
      </c>
      <c r="P117" s="262"/>
      <c r="Q117" s="262"/>
      <c r="R117" s="262"/>
      <c r="S117" s="262"/>
      <c r="T117" s="262"/>
      <c r="U117" s="381"/>
      <c r="V117" s="381"/>
      <c r="W117" s="381"/>
      <c r="X117" s="382"/>
    </row>
    <row r="118" spans="1:24" s="40" customFormat="1" ht="12.6" customHeight="1" thickBot="1" x14ac:dyDescent="0.3">
      <c r="A118" s="2"/>
      <c r="B118" s="192"/>
      <c r="C118" s="200" t="s">
        <v>248</v>
      </c>
      <c r="D118" s="1005">
        <v>0</v>
      </c>
      <c r="E118" s="1039"/>
      <c r="F118" s="1005">
        <f>D118+D118*M118</f>
        <v>0</v>
      </c>
      <c r="G118" s="1039"/>
      <c r="H118" s="1040">
        <f>F118+F118*N118</f>
        <v>0</v>
      </c>
      <c r="I118" s="1039"/>
      <c r="J118" s="1040">
        <f>H118+H118*O118</f>
        <v>0</v>
      </c>
      <c r="K118" s="1039"/>
      <c r="L118" s="45"/>
      <c r="M118" s="331">
        <v>0.03</v>
      </c>
      <c r="N118" s="331">
        <f t="shared" si="13"/>
        <v>0.03</v>
      </c>
      <c r="O118" s="331">
        <f t="shared" si="13"/>
        <v>0.03</v>
      </c>
      <c r="P118" s="262"/>
      <c r="Q118" s="262"/>
      <c r="R118" s="262"/>
      <c r="S118" s="262"/>
      <c r="T118" s="262"/>
      <c r="U118" s="381"/>
      <c r="V118" s="381"/>
      <c r="W118" s="381"/>
      <c r="X118" s="382"/>
    </row>
    <row r="119" spans="1:24" s="4" customFormat="1" ht="12.75" customHeight="1" x14ac:dyDescent="0.2">
      <c r="A119" s="41"/>
      <c r="B119" s="191"/>
      <c r="C119" s="201" t="s">
        <v>249</v>
      </c>
      <c r="D119" s="1037">
        <f>SUM(D120:D122)</f>
        <v>0</v>
      </c>
      <c r="E119" s="1038">
        <f>IF(D$45=0,0,100*D119/D$45)</f>
        <v>0</v>
      </c>
      <c r="F119" s="1037">
        <f>SUM(F120:F122)</f>
        <v>0</v>
      </c>
      <c r="G119" s="1038">
        <f>IF(F$45=0,0,100*F119/F$45)</f>
        <v>0</v>
      </c>
      <c r="H119" s="1037">
        <f>SUM(H120:H122)</f>
        <v>0</v>
      </c>
      <c r="I119" s="1038">
        <f>IF(H$45=0,0,100*H119/H$45)</f>
        <v>0</v>
      </c>
      <c r="J119" s="1037">
        <f>SUM(J120:J122)</f>
        <v>0</v>
      </c>
      <c r="K119" s="1038">
        <f>IF(J$45=0,0,100*J119/J$45)</f>
        <v>0</v>
      </c>
      <c r="L119" s="25"/>
      <c r="M119" s="1675"/>
      <c r="N119" s="1673"/>
      <c r="O119" s="1673"/>
      <c r="P119" s="262"/>
      <c r="Q119" s="262"/>
      <c r="R119" s="262"/>
      <c r="S119" s="262"/>
      <c r="T119" s="262"/>
      <c r="U119" s="381"/>
      <c r="V119" s="381"/>
      <c r="W119" s="381"/>
      <c r="X119" s="382"/>
    </row>
    <row r="120" spans="1:24" s="40" customFormat="1" ht="12.6" customHeight="1" x14ac:dyDescent="0.25">
      <c r="A120"/>
      <c r="B120" s="192"/>
      <c r="C120" s="193" t="s">
        <v>250</v>
      </c>
      <c r="D120" s="1005">
        <v>0</v>
      </c>
      <c r="E120" s="1006"/>
      <c r="F120" s="1005">
        <f t="shared" ref="F120:F126" si="14">D120+D120*M120</f>
        <v>0</v>
      </c>
      <c r="G120" s="1006"/>
      <c r="H120" s="1005">
        <f t="shared" ref="H120:H126" si="15">F120+F120*N120</f>
        <v>0</v>
      </c>
      <c r="I120" s="1006"/>
      <c r="J120" s="1005">
        <f t="shared" ref="J120:J126" si="16">H120+H120*O120</f>
        <v>0</v>
      </c>
      <c r="K120" s="1006"/>
      <c r="L120" s="43"/>
      <c r="M120" s="331">
        <v>0.03</v>
      </c>
      <c r="N120" s="331">
        <f t="shared" ref="N120:O130" si="17">M120</f>
        <v>0.03</v>
      </c>
      <c r="O120" s="331">
        <f t="shared" si="17"/>
        <v>0.03</v>
      </c>
      <c r="P120" s="262"/>
      <c r="Q120" s="262"/>
      <c r="R120" s="262"/>
      <c r="S120" s="262"/>
      <c r="T120" s="381"/>
      <c r="U120" s="381"/>
      <c r="V120" s="262"/>
      <c r="W120" s="262"/>
      <c r="X120" s="382"/>
    </row>
    <row r="121" spans="1:24" s="40" customFormat="1" ht="12.6" customHeight="1" x14ac:dyDescent="0.2">
      <c r="A121" s="41"/>
      <c r="B121" s="192"/>
      <c r="C121" s="193" t="s">
        <v>251</v>
      </c>
      <c r="D121" s="1005">
        <v>0</v>
      </c>
      <c r="E121" s="1006"/>
      <c r="F121" s="1005">
        <f t="shared" si="14"/>
        <v>0</v>
      </c>
      <c r="G121" s="1006"/>
      <c r="H121" s="1005">
        <f t="shared" si="15"/>
        <v>0</v>
      </c>
      <c r="I121" s="1006"/>
      <c r="J121" s="1005">
        <f t="shared" si="16"/>
        <v>0</v>
      </c>
      <c r="K121" s="1006"/>
      <c r="L121" s="43"/>
      <c r="M121" s="331">
        <v>0.03</v>
      </c>
      <c r="N121" s="331">
        <f t="shared" si="17"/>
        <v>0.03</v>
      </c>
      <c r="O121" s="331">
        <f t="shared" si="17"/>
        <v>0.03</v>
      </c>
      <c r="P121" s="262"/>
      <c r="Q121" s="262"/>
      <c r="R121" s="262"/>
      <c r="S121" s="381"/>
      <c r="T121" s="381"/>
      <c r="U121" s="262"/>
      <c r="V121" s="262"/>
      <c r="W121" s="262"/>
      <c r="X121" s="382"/>
    </row>
    <row r="122" spans="1:24" s="40" customFormat="1" ht="12.6" customHeight="1" thickBot="1" x14ac:dyDescent="0.3">
      <c r="A122" s="2"/>
      <c r="B122" s="192"/>
      <c r="C122" s="202" t="s">
        <v>252</v>
      </c>
      <c r="D122" s="1040">
        <v>0</v>
      </c>
      <c r="E122" s="1039"/>
      <c r="F122" s="1040">
        <f t="shared" si="14"/>
        <v>0</v>
      </c>
      <c r="G122" s="1039"/>
      <c r="H122" s="1040">
        <f t="shared" si="15"/>
        <v>0</v>
      </c>
      <c r="I122" s="1039"/>
      <c r="J122" s="1040">
        <f t="shared" si="16"/>
        <v>0</v>
      </c>
      <c r="K122" s="1039"/>
      <c r="L122" s="45"/>
      <c r="M122" s="331">
        <v>0.03</v>
      </c>
      <c r="N122" s="331">
        <f t="shared" si="17"/>
        <v>0.03</v>
      </c>
      <c r="O122" s="331">
        <f t="shared" si="17"/>
        <v>0.03</v>
      </c>
      <c r="P122" s="262">
        <v>0</v>
      </c>
      <c r="Q122" s="262"/>
      <c r="R122" s="262"/>
      <c r="S122" s="381"/>
      <c r="T122" s="381"/>
      <c r="U122" s="381"/>
      <c r="V122" s="381"/>
      <c r="W122" s="381"/>
      <c r="X122" s="383"/>
    </row>
    <row r="123" spans="1:24" s="4" customFormat="1" ht="12.75" customHeight="1" thickBot="1" x14ac:dyDescent="0.25">
      <c r="A123" s="41"/>
      <c r="B123" s="191"/>
      <c r="C123" s="203" t="s">
        <v>253</v>
      </c>
      <c r="D123" s="1049">
        <v>0</v>
      </c>
      <c r="E123" s="1052">
        <f t="shared" ref="E123:E130" si="18">IF(D$45=0,0,100*D123/D$45)</f>
        <v>0</v>
      </c>
      <c r="F123" s="1049">
        <f t="shared" si="14"/>
        <v>0</v>
      </c>
      <c r="G123" s="1052">
        <f t="shared" ref="G123:G130" si="19">IF(F$45=0,0,100*F123/F$45)</f>
        <v>0</v>
      </c>
      <c r="H123" s="1049">
        <f t="shared" si="15"/>
        <v>0</v>
      </c>
      <c r="I123" s="1038">
        <f t="shared" ref="I123:I130" si="20">IF(H$45=0,0,100*H123/H$45)</f>
        <v>0</v>
      </c>
      <c r="J123" s="1049">
        <f t="shared" si="16"/>
        <v>0</v>
      </c>
      <c r="K123" s="1038">
        <f t="shared" ref="K123:K130" si="21">IF(J$45=0,0,100*J123/J$45)</f>
        <v>0</v>
      </c>
      <c r="L123" s="25"/>
      <c r="M123" s="331">
        <v>0.03</v>
      </c>
      <c r="N123" s="331">
        <f t="shared" si="17"/>
        <v>0.03</v>
      </c>
      <c r="O123" s="331">
        <f t="shared" si="17"/>
        <v>0.03</v>
      </c>
      <c r="P123" s="262"/>
      <c r="Q123" s="262"/>
      <c r="R123" s="262"/>
      <c r="S123" s="381"/>
      <c r="T123" s="381"/>
      <c r="U123" s="381"/>
      <c r="V123" s="381"/>
      <c r="W123" s="381"/>
      <c r="X123" s="383"/>
    </row>
    <row r="124" spans="1:24" s="4" customFormat="1" ht="12.75" customHeight="1" thickBot="1" x14ac:dyDescent="0.25">
      <c r="B124" s="191"/>
      <c r="C124" s="203" t="s">
        <v>254</v>
      </c>
      <c r="D124" s="1049">
        <v>0</v>
      </c>
      <c r="E124" s="1052">
        <f t="shared" si="18"/>
        <v>0</v>
      </c>
      <c r="F124" s="1049">
        <f t="shared" si="14"/>
        <v>0</v>
      </c>
      <c r="G124" s="1052">
        <f t="shared" si="19"/>
        <v>0</v>
      </c>
      <c r="H124" s="1049">
        <f t="shared" si="15"/>
        <v>0</v>
      </c>
      <c r="I124" s="1038">
        <f t="shared" si="20"/>
        <v>0</v>
      </c>
      <c r="J124" s="1049">
        <f t="shared" si="16"/>
        <v>0</v>
      </c>
      <c r="K124" s="1038">
        <f t="shared" si="21"/>
        <v>0</v>
      </c>
      <c r="L124" s="25"/>
      <c r="M124" s="331">
        <v>0.03</v>
      </c>
      <c r="N124" s="331">
        <f t="shared" si="17"/>
        <v>0.03</v>
      </c>
      <c r="O124" s="331">
        <f t="shared" si="17"/>
        <v>0.03</v>
      </c>
      <c r="P124" s="262"/>
      <c r="Q124" s="262"/>
      <c r="R124" s="262"/>
      <c r="S124" s="381"/>
      <c r="T124" s="381"/>
      <c r="U124" s="381"/>
      <c r="V124" s="381"/>
      <c r="W124" s="381"/>
      <c r="X124" s="383"/>
    </row>
    <row r="125" spans="1:24" s="4" customFormat="1" ht="12.75" customHeight="1" thickBot="1" x14ac:dyDescent="0.3">
      <c r="B125" s="191" t="s">
        <v>3</v>
      </c>
      <c r="C125" s="204" t="s">
        <v>255</v>
      </c>
      <c r="D125" s="1049">
        <v>0</v>
      </c>
      <c r="E125" s="1052">
        <f t="shared" si="18"/>
        <v>0</v>
      </c>
      <c r="F125" s="1049">
        <f t="shared" si="14"/>
        <v>0</v>
      </c>
      <c r="G125" s="1052">
        <f t="shared" si="19"/>
        <v>0</v>
      </c>
      <c r="H125" s="1049">
        <f t="shared" si="15"/>
        <v>0</v>
      </c>
      <c r="I125" s="1052">
        <f t="shared" si="20"/>
        <v>0</v>
      </c>
      <c r="J125" s="1049">
        <f t="shared" si="16"/>
        <v>0</v>
      </c>
      <c r="K125" s="1052">
        <f t="shared" si="21"/>
        <v>0</v>
      </c>
      <c r="L125" s="46"/>
      <c r="M125" s="331">
        <v>0.03</v>
      </c>
      <c r="N125" s="331">
        <f t="shared" si="17"/>
        <v>0.03</v>
      </c>
      <c r="O125" s="331">
        <f t="shared" si="17"/>
        <v>0.03</v>
      </c>
      <c r="P125" s="262"/>
      <c r="Q125" s="262"/>
      <c r="R125" s="262"/>
      <c r="S125" s="381"/>
      <c r="T125" s="381"/>
      <c r="U125" s="381"/>
      <c r="V125" s="381"/>
      <c r="W125" s="381"/>
      <c r="X125" s="383"/>
    </row>
    <row r="126" spans="1:24" s="4" customFormat="1" ht="12.75" customHeight="1" thickBot="1" x14ac:dyDescent="0.25">
      <c r="B126" s="205"/>
      <c r="C126" s="234" t="s">
        <v>256</v>
      </c>
      <c r="D126" s="1049">
        <v>0</v>
      </c>
      <c r="E126" s="1052">
        <f t="shared" si="18"/>
        <v>0</v>
      </c>
      <c r="F126" s="1049">
        <f t="shared" si="14"/>
        <v>0</v>
      </c>
      <c r="G126" s="1052">
        <f t="shared" si="19"/>
        <v>0</v>
      </c>
      <c r="H126" s="1049">
        <f t="shared" si="15"/>
        <v>0</v>
      </c>
      <c r="I126" s="1052">
        <f t="shared" si="20"/>
        <v>0</v>
      </c>
      <c r="J126" s="1049">
        <f t="shared" si="16"/>
        <v>0</v>
      </c>
      <c r="K126" s="1052">
        <f t="shared" si="21"/>
        <v>0</v>
      </c>
      <c r="L126" s="26"/>
      <c r="M126" s="331">
        <v>0.03</v>
      </c>
      <c r="N126" s="331">
        <f t="shared" si="17"/>
        <v>0.03</v>
      </c>
      <c r="O126" s="331">
        <f t="shared" si="17"/>
        <v>0.03</v>
      </c>
      <c r="P126" s="262"/>
      <c r="Q126" s="262"/>
      <c r="R126" s="262"/>
      <c r="S126" s="262"/>
      <c r="T126" s="381"/>
      <c r="U126" s="381"/>
      <c r="V126" s="381"/>
      <c r="W126" s="381"/>
      <c r="X126" s="383"/>
    </row>
    <row r="127" spans="1:24" s="4" customFormat="1" ht="12.75" customHeight="1" thickBot="1" x14ac:dyDescent="0.25">
      <c r="B127" s="205"/>
      <c r="C127" s="234" t="s">
        <v>257</v>
      </c>
      <c r="D127" s="1049">
        <v>0</v>
      </c>
      <c r="E127" s="1052">
        <f t="shared" si="18"/>
        <v>0</v>
      </c>
      <c r="F127" s="1049">
        <v>0</v>
      </c>
      <c r="G127" s="1052">
        <f t="shared" si="19"/>
        <v>0</v>
      </c>
      <c r="H127" s="1049">
        <v>0</v>
      </c>
      <c r="I127" s="1052">
        <f t="shared" si="20"/>
        <v>0</v>
      </c>
      <c r="J127" s="1049">
        <v>0</v>
      </c>
      <c r="K127" s="1052">
        <f t="shared" si="21"/>
        <v>0</v>
      </c>
      <c r="L127" s="26"/>
      <c r="M127" s="1153"/>
      <c r="N127" s="568"/>
      <c r="O127" s="568"/>
      <c r="P127" s="262"/>
      <c r="Q127" s="262"/>
      <c r="R127" s="262"/>
      <c r="S127" s="262"/>
      <c r="T127" s="381"/>
      <c r="U127" s="381"/>
      <c r="V127" s="381"/>
      <c r="W127" s="381"/>
      <c r="X127" s="383"/>
    </row>
    <row r="128" spans="1:24" s="4" customFormat="1" ht="12.75" customHeight="1" thickBot="1" x14ac:dyDescent="0.25">
      <c r="B128" s="205"/>
      <c r="C128" s="235" t="s">
        <v>258</v>
      </c>
      <c r="D128" s="1049">
        <v>0</v>
      </c>
      <c r="E128" s="1052">
        <f t="shared" si="18"/>
        <v>0</v>
      </c>
      <c r="F128" s="1049">
        <f>D128+D128*M128</f>
        <v>0</v>
      </c>
      <c r="G128" s="1052">
        <f t="shared" si="19"/>
        <v>0</v>
      </c>
      <c r="H128" s="1049">
        <f>F128+F128*N128</f>
        <v>0</v>
      </c>
      <c r="I128" s="1052">
        <f t="shared" si="20"/>
        <v>0</v>
      </c>
      <c r="J128" s="1049">
        <f>H128+H128*O128</f>
        <v>0</v>
      </c>
      <c r="K128" s="1052">
        <f t="shared" si="21"/>
        <v>0</v>
      </c>
      <c r="L128" s="26"/>
      <c r="M128" s="331">
        <v>0.03</v>
      </c>
      <c r="N128" s="331">
        <f t="shared" si="17"/>
        <v>0.03</v>
      </c>
      <c r="O128" s="331">
        <f t="shared" si="17"/>
        <v>0.03</v>
      </c>
      <c r="P128" s="262"/>
      <c r="Q128" s="262"/>
      <c r="R128" s="262"/>
      <c r="S128" s="262"/>
      <c r="T128" s="262"/>
      <c r="U128" s="262"/>
      <c r="V128" s="262"/>
      <c r="W128" s="262"/>
      <c r="X128" s="382"/>
    </row>
    <row r="129" spans="2:24" s="4" customFormat="1" ht="12.75" customHeight="1" thickBot="1" x14ac:dyDescent="0.25">
      <c r="B129" s="205"/>
      <c r="C129" s="236" t="s">
        <v>259</v>
      </c>
      <c r="D129" s="1049">
        <v>0</v>
      </c>
      <c r="E129" s="1052">
        <f t="shared" si="18"/>
        <v>0</v>
      </c>
      <c r="F129" s="1049">
        <f>D129+D129*M129</f>
        <v>0</v>
      </c>
      <c r="G129" s="1052">
        <f t="shared" si="19"/>
        <v>0</v>
      </c>
      <c r="H129" s="1049">
        <f>F129+F129*N129</f>
        <v>0</v>
      </c>
      <c r="I129" s="1052">
        <f t="shared" si="20"/>
        <v>0</v>
      </c>
      <c r="J129" s="1049">
        <f>H129+H129*O129</f>
        <v>0</v>
      </c>
      <c r="K129" s="1052">
        <f t="shared" si="21"/>
        <v>0</v>
      </c>
      <c r="L129" s="26"/>
      <c r="M129" s="331">
        <v>0.03</v>
      </c>
      <c r="N129" s="331">
        <f t="shared" si="17"/>
        <v>0.03</v>
      </c>
      <c r="O129" s="331">
        <f t="shared" si="17"/>
        <v>0.03</v>
      </c>
      <c r="P129" s="262"/>
      <c r="Q129" s="262"/>
      <c r="R129" s="262"/>
      <c r="S129" s="262"/>
      <c r="T129" s="262"/>
      <c r="U129" s="262"/>
      <c r="V129" s="262"/>
      <c r="W129" s="262"/>
      <c r="X129" s="382"/>
    </row>
    <row r="130" spans="2:24" s="4" customFormat="1" ht="12.75" customHeight="1" thickBot="1" x14ac:dyDescent="0.25">
      <c r="B130" s="206"/>
      <c r="C130" s="1152" t="s">
        <v>260</v>
      </c>
      <c r="D130" s="915">
        <v>0</v>
      </c>
      <c r="E130" s="1053">
        <f t="shared" si="18"/>
        <v>0</v>
      </c>
      <c r="F130" s="915">
        <f>D130+D130*M130</f>
        <v>0</v>
      </c>
      <c r="G130" s="1053">
        <f t="shared" si="19"/>
        <v>0</v>
      </c>
      <c r="H130" s="1049">
        <f>F130+F130*N130</f>
        <v>0</v>
      </c>
      <c r="I130" s="1053">
        <f t="shared" si="20"/>
        <v>0</v>
      </c>
      <c r="J130" s="1049">
        <f>H130+H130*O130</f>
        <v>0</v>
      </c>
      <c r="K130" s="1053">
        <f t="shared" si="21"/>
        <v>0</v>
      </c>
      <c r="L130" s="26"/>
      <c r="M130" s="331">
        <v>0.03</v>
      </c>
      <c r="N130" s="331">
        <f t="shared" si="17"/>
        <v>0.03</v>
      </c>
      <c r="O130" s="331">
        <f t="shared" si="17"/>
        <v>0.03</v>
      </c>
      <c r="P130" s="1758"/>
      <c r="Q130" s="1758"/>
      <c r="R130" s="1758"/>
      <c r="S130" s="1758"/>
      <c r="T130" s="1758"/>
      <c r="U130" s="1758"/>
      <c r="V130" s="1758"/>
      <c r="W130" s="1758"/>
      <c r="X130" s="384"/>
    </row>
    <row r="131" spans="2:24" ht="13.5" customHeight="1" thickBot="1" x14ac:dyDescent="0.3">
      <c r="B131" s="1647" t="s">
        <v>34</v>
      </c>
      <c r="C131" s="1648" t="s">
        <v>261</v>
      </c>
      <c r="D131" s="1649">
        <f>D45+D44</f>
        <v>0</v>
      </c>
      <c r="E131" s="1645">
        <v>0</v>
      </c>
      <c r="F131" s="1649">
        <f>F45+F44</f>
        <v>0</v>
      </c>
      <c r="G131" s="1646">
        <v>0</v>
      </c>
      <c r="H131" s="1649">
        <f>H45+H44</f>
        <v>0</v>
      </c>
      <c r="I131" s="1650"/>
      <c r="J131" s="1649">
        <f>J45+J44</f>
        <v>0</v>
      </c>
      <c r="K131" s="1650"/>
      <c r="L131" s="1847"/>
      <c r="M131" s="1848"/>
      <c r="N131" s="1848"/>
      <c r="O131" s="1848"/>
      <c r="P131" s="1849"/>
      <c r="Q131" s="1849"/>
      <c r="R131" s="1849"/>
      <c r="S131" s="1849"/>
      <c r="T131" s="1849"/>
      <c r="U131" s="22"/>
      <c r="V131" s="22"/>
      <c r="W131" s="22"/>
    </row>
    <row r="132" spans="2:24" ht="6" customHeight="1" x14ac:dyDescent="0.25">
      <c r="B132" s="4"/>
      <c r="L132" s="3"/>
      <c r="M132" s="1850"/>
      <c r="N132" s="535"/>
      <c r="O132" s="535"/>
      <c r="P132" s="535"/>
      <c r="Q132" s="535"/>
      <c r="R132" s="535"/>
      <c r="S132" s="535"/>
      <c r="T132" s="535"/>
      <c r="U132" s="22"/>
      <c r="V132" s="22"/>
      <c r="W132" s="22"/>
    </row>
    <row r="133" spans="2:24" s="2" customFormat="1" x14ac:dyDescent="0.25">
      <c r="B133" s="346"/>
      <c r="C133" s="347"/>
      <c r="D133" s="347"/>
      <c r="E133" s="347"/>
      <c r="F133" s="347"/>
      <c r="G133" s="347"/>
      <c r="H133" s="347"/>
      <c r="I133" s="347"/>
      <c r="J133" s="347"/>
      <c r="K133" s="221" t="str">
        <f>OHJE!F6</f>
        <v>Palvelun tarjoavat</v>
      </c>
      <c r="L133" s="3"/>
      <c r="M133" s="1849"/>
      <c r="N133" s="1849"/>
      <c r="O133" s="1849"/>
      <c r="P133" s="1849"/>
      <c r="Q133" s="1849"/>
      <c r="R133" s="1849"/>
      <c r="S133" s="1849"/>
      <c r="T133" s="1849"/>
      <c r="U133" s="22"/>
      <c r="V133" s="22"/>
      <c r="W133" s="22"/>
    </row>
    <row r="134" spans="2:24" s="2" customFormat="1" x14ac:dyDescent="0.25">
      <c r="B134" s="346" t="str">
        <f>'7. T2 TULOSSUUN.'!B36</f>
        <v>YT6 Aloittavan yrityksen tulossuunnitelma</v>
      </c>
      <c r="C134" s="347"/>
      <c r="D134" s="347"/>
      <c r="E134" s="347"/>
      <c r="F134" s="347"/>
      <c r="G134" s="347"/>
      <c r="H134" s="347"/>
      <c r="I134" s="347"/>
      <c r="J134" s="347"/>
      <c r="K134" s="405" t="str">
        <f>'7. T2 TULOSSUUN.'!G36</f>
        <v>Iisalmi, Lapinlahti, Sonkajärvi, Vieremä</v>
      </c>
      <c r="L134" s="3"/>
      <c r="M134" s="1849"/>
      <c r="N134" s="1849"/>
      <c r="O134" s="1849"/>
      <c r="P134" s="1849"/>
      <c r="Q134" s="1849"/>
      <c r="R134" s="1849"/>
      <c r="S134" s="1849"/>
      <c r="T134" s="1849"/>
      <c r="U134" s="22"/>
      <c r="V134" s="22"/>
      <c r="W134" s="22"/>
    </row>
    <row r="135" spans="2:24" s="2" customFormat="1" x14ac:dyDescent="0.25">
      <c r="B135" s="1902"/>
      <c r="C135" s="1902"/>
      <c r="L135" s="3"/>
      <c r="M135" s="1849"/>
      <c r="N135" s="1849"/>
      <c r="O135" s="1849"/>
      <c r="P135" s="1849"/>
      <c r="Q135" s="1849"/>
      <c r="R135" s="1849"/>
      <c r="S135" s="1849"/>
      <c r="T135" s="1849"/>
      <c r="U135" s="22"/>
      <c r="V135" s="22"/>
      <c r="W135" s="22"/>
    </row>
    <row r="136" spans="2:24" ht="6.75" customHeight="1" x14ac:dyDescent="0.25">
      <c r="B136" s="4"/>
      <c r="C136" s="4"/>
      <c r="D136" s="4"/>
      <c r="E136" s="4"/>
      <c r="F136" s="4"/>
      <c r="G136" s="4"/>
      <c r="H136" s="4"/>
      <c r="I136" s="4"/>
      <c r="J136" s="4"/>
      <c r="K136" s="4"/>
      <c r="M136" s="535"/>
      <c r="N136" s="535"/>
      <c r="O136" s="535"/>
      <c r="P136" s="535"/>
      <c r="Q136" s="535"/>
      <c r="R136" s="535"/>
      <c r="S136" s="535"/>
      <c r="T136" s="535"/>
      <c r="U136" s="22"/>
      <c r="V136" s="22"/>
      <c r="W136" s="22"/>
    </row>
    <row r="137" spans="2:24" x14ac:dyDescent="0.25">
      <c r="B137" s="1851"/>
      <c r="C137" s="345" t="s">
        <v>87</v>
      </c>
      <c r="D137" s="7"/>
      <c r="E137" s="1852"/>
      <c r="F137" s="7"/>
      <c r="G137" s="1852"/>
      <c r="H137" s="7"/>
      <c r="I137" s="1852"/>
      <c r="J137" s="7"/>
      <c r="K137" s="1852"/>
      <c r="L137" s="7"/>
      <c r="M137" s="7"/>
      <c r="N137" s="6"/>
      <c r="O137" s="22"/>
      <c r="P137" s="22"/>
      <c r="Q137" s="22"/>
      <c r="R137" s="22"/>
      <c r="S137" s="22"/>
      <c r="T137" s="22"/>
      <c r="U137" s="22"/>
      <c r="V137" s="22"/>
      <c r="W137" s="22"/>
    </row>
    <row r="138" spans="2:24" s="2" customFormat="1" x14ac:dyDescent="0.25">
      <c r="B138" s="28"/>
      <c r="C138" s="40" t="s">
        <v>88</v>
      </c>
      <c r="D138" s="17"/>
      <c r="E138" s="27"/>
      <c r="F138" s="7"/>
      <c r="G138" s="27"/>
      <c r="H138" s="7"/>
      <c r="I138" s="27"/>
      <c r="J138" s="7"/>
      <c r="K138" s="27"/>
      <c r="L138" s="7"/>
      <c r="M138" s="7"/>
      <c r="N138" s="6"/>
      <c r="O138" s="22"/>
      <c r="P138" s="22"/>
      <c r="Q138" s="22"/>
      <c r="R138" s="22"/>
      <c r="S138" s="22"/>
      <c r="T138" s="22"/>
      <c r="U138" s="22"/>
      <c r="V138" s="22"/>
      <c r="W138" s="22"/>
    </row>
    <row r="139" spans="2:24" s="2" customFormat="1" ht="12.75" customHeight="1" x14ac:dyDescent="0.25">
      <c r="B139" s="28"/>
      <c r="C139" s="40" t="s">
        <v>89</v>
      </c>
      <c r="D139" s="7"/>
      <c r="E139" s="27"/>
      <c r="F139" s="7"/>
      <c r="G139" s="27"/>
      <c r="H139" s="7"/>
      <c r="I139" s="27"/>
      <c r="J139" s="7"/>
      <c r="K139" s="27"/>
      <c r="L139" s="7"/>
      <c r="M139" s="7"/>
      <c r="N139" s="6"/>
      <c r="O139" s="22"/>
      <c r="P139" s="22"/>
      <c r="Q139" s="22"/>
      <c r="R139" s="22"/>
      <c r="S139" s="22"/>
      <c r="T139" s="22"/>
      <c r="U139" s="22"/>
      <c r="V139" s="22"/>
      <c r="W139" s="22"/>
    </row>
    <row r="140" spans="2:24" x14ac:dyDescent="0.25">
      <c r="B140" s="1851"/>
      <c r="L140" s="1853"/>
      <c r="M140" s="1853"/>
      <c r="N140" s="6"/>
      <c r="O140" s="9"/>
      <c r="P140" s="22"/>
      <c r="Q140" s="22"/>
      <c r="R140" s="22"/>
      <c r="S140" s="22"/>
      <c r="T140" s="22"/>
      <c r="U140" s="22"/>
      <c r="V140" s="22"/>
      <c r="W140" s="22"/>
    </row>
    <row r="141" spans="2:24" s="2" customFormat="1" x14ac:dyDescent="0.25">
      <c r="B141" s="1851"/>
      <c r="L141" s="1854"/>
      <c r="M141" s="1854"/>
      <c r="N141" s="6"/>
      <c r="O141" s="9"/>
      <c r="P141" s="22"/>
      <c r="Q141" s="22"/>
      <c r="R141" s="22"/>
      <c r="S141" s="22"/>
      <c r="T141" s="22"/>
      <c r="U141" s="22"/>
      <c r="V141" s="22"/>
      <c r="W141" s="22"/>
    </row>
    <row r="142" spans="2:24" x14ac:dyDescent="0.25">
      <c r="B142" s="28"/>
      <c r="L142" s="7"/>
      <c r="M142" s="7"/>
      <c r="N142" s="6"/>
      <c r="O142" s="22"/>
      <c r="P142" s="22"/>
      <c r="Q142" s="22"/>
      <c r="R142" s="22"/>
      <c r="S142" s="22"/>
      <c r="T142" s="22"/>
      <c r="U142" s="22"/>
      <c r="V142" s="22"/>
      <c r="W142" s="22"/>
    </row>
    <row r="143" spans="2:24" x14ac:dyDescent="0.25">
      <c r="B143" s="1851"/>
      <c r="L143" s="1853"/>
      <c r="M143" s="1853"/>
      <c r="N143" s="6"/>
      <c r="O143" s="22"/>
      <c r="P143" s="22"/>
      <c r="Q143" s="22"/>
      <c r="R143" s="22"/>
      <c r="S143" s="22"/>
      <c r="T143" s="22"/>
      <c r="U143" s="22"/>
      <c r="V143" s="22"/>
      <c r="W143" s="22"/>
    </row>
    <row r="144" spans="2:24" x14ac:dyDescent="0.25">
      <c r="B144" s="28"/>
      <c r="L144" s="7"/>
      <c r="M144" s="7"/>
      <c r="N144" s="6"/>
      <c r="O144" s="22"/>
      <c r="P144" s="22"/>
      <c r="Q144" s="22"/>
      <c r="R144" s="22"/>
      <c r="S144" s="22"/>
      <c r="T144" s="22"/>
      <c r="U144" s="22"/>
      <c r="V144" s="22"/>
      <c r="W144" s="22"/>
    </row>
    <row r="145" spans="2:23" ht="12.75" customHeight="1" x14ac:dyDescent="0.25">
      <c r="B145" s="1852"/>
      <c r="L145" s="1855"/>
      <c r="M145" s="1855"/>
      <c r="N145" s="6"/>
      <c r="O145" s="22"/>
      <c r="P145" s="22"/>
      <c r="Q145" s="22"/>
      <c r="R145" s="22"/>
      <c r="S145" s="22"/>
      <c r="T145" s="22"/>
      <c r="U145" s="22"/>
      <c r="V145" s="22"/>
      <c r="W145" s="22"/>
    </row>
    <row r="146" spans="2:23" ht="12.75" customHeight="1" x14ac:dyDescent="0.25">
      <c r="B146" s="1852"/>
      <c r="C146" s="1856"/>
      <c r="D146" s="1855"/>
      <c r="E146" s="8"/>
      <c r="F146" s="11"/>
      <c r="G146" s="8"/>
      <c r="H146" s="11"/>
      <c r="I146" s="8"/>
      <c r="J146" s="11"/>
      <c r="K146" s="8"/>
      <c r="L146" s="11"/>
      <c r="M146" s="11"/>
      <c r="N146" s="6"/>
      <c r="O146" s="6"/>
      <c r="P146" s="6"/>
      <c r="Q146" s="6"/>
      <c r="R146" s="6"/>
      <c r="S146" s="6"/>
      <c r="T146" s="6"/>
      <c r="U146" s="6"/>
      <c r="V146" s="6"/>
      <c r="W146" s="6"/>
    </row>
    <row r="147" spans="2:23" ht="12.75" customHeight="1" x14ac:dyDescent="0.25">
      <c r="B147" s="1852"/>
      <c r="C147" s="1856"/>
      <c r="D147" s="1855"/>
      <c r="E147" s="1852"/>
      <c r="F147" s="1855"/>
      <c r="G147" s="1852"/>
      <c r="H147" s="1855"/>
      <c r="I147" s="1852"/>
      <c r="J147" s="1855"/>
      <c r="K147" s="1852"/>
      <c r="L147" s="1855"/>
      <c r="M147" s="1855"/>
      <c r="N147" s="6"/>
      <c r="O147" s="6"/>
      <c r="P147" s="6"/>
      <c r="Q147" s="6"/>
      <c r="R147" s="6"/>
      <c r="S147" s="6"/>
      <c r="T147" s="6"/>
      <c r="U147" s="6"/>
      <c r="V147" s="6"/>
      <c r="W147" s="6"/>
    </row>
    <row r="148" spans="2:23" ht="12.75" customHeight="1" x14ac:dyDescent="0.25">
      <c r="B148" s="1852"/>
      <c r="C148" s="1856"/>
      <c r="D148" s="1855"/>
      <c r="E148" s="27"/>
      <c r="F148" s="1857"/>
      <c r="G148" s="27"/>
      <c r="H148" s="1857"/>
      <c r="I148" s="27"/>
      <c r="J148" s="1857"/>
      <c r="K148" s="27"/>
      <c r="L148" s="1857"/>
      <c r="M148" s="1857"/>
      <c r="N148" s="6"/>
      <c r="O148" s="6"/>
      <c r="P148" s="6"/>
      <c r="Q148" s="6"/>
      <c r="R148" s="6"/>
      <c r="S148" s="6"/>
      <c r="T148" s="6"/>
      <c r="U148" s="6"/>
      <c r="V148" s="6"/>
      <c r="W148" s="6"/>
    </row>
    <row r="149" spans="2:23" ht="12.75" customHeight="1" x14ac:dyDescent="0.25">
      <c r="B149" s="27"/>
      <c r="C149" s="1856"/>
      <c r="D149" s="1855"/>
      <c r="E149" s="27"/>
      <c r="F149" s="1857"/>
      <c r="G149" s="27"/>
      <c r="H149" s="1857"/>
      <c r="I149" s="27"/>
      <c r="J149" s="1857"/>
      <c r="K149" s="27"/>
      <c r="L149" s="1857"/>
      <c r="M149" s="1857"/>
      <c r="N149" s="6"/>
      <c r="O149" s="6"/>
      <c r="P149" s="6"/>
      <c r="Q149" s="6"/>
      <c r="R149" s="6"/>
      <c r="S149" s="6"/>
      <c r="T149" s="6"/>
      <c r="U149" s="6"/>
      <c r="V149" s="6"/>
      <c r="W149" s="6"/>
    </row>
    <row r="150" spans="2:23" ht="12.75" customHeight="1" x14ac:dyDescent="0.25">
      <c r="B150" s="1852"/>
      <c r="C150" s="1856"/>
      <c r="D150" s="1855"/>
      <c r="E150" s="30"/>
      <c r="F150" s="1857"/>
      <c r="G150" s="30"/>
      <c r="H150" s="1857"/>
      <c r="I150" s="30"/>
      <c r="J150" s="1857"/>
      <c r="K150" s="30"/>
      <c r="L150" s="1857"/>
      <c r="M150" s="1857"/>
      <c r="N150" s="6"/>
      <c r="O150" s="6"/>
      <c r="P150" s="6"/>
      <c r="Q150" s="6"/>
      <c r="R150" s="6"/>
      <c r="S150" s="6"/>
      <c r="T150" s="6"/>
      <c r="U150" s="6"/>
      <c r="V150" s="6"/>
      <c r="W150" s="6"/>
    </row>
    <row r="151" spans="2:23" ht="12.75" customHeight="1" x14ac:dyDescent="0.25">
      <c r="B151" s="6"/>
      <c r="C151" s="6"/>
      <c r="D151" s="6"/>
      <c r="E151" s="27"/>
      <c r="F151" s="6"/>
      <c r="G151" s="27"/>
      <c r="H151" s="6"/>
      <c r="I151" s="27"/>
      <c r="J151" s="6"/>
      <c r="K151" s="27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</row>
    <row r="152" spans="2:23" ht="12.75" customHeight="1" x14ac:dyDescent="0.25">
      <c r="B152" s="6"/>
      <c r="C152" s="6"/>
      <c r="D152" s="28"/>
      <c r="E152" s="6"/>
      <c r="F152" s="10"/>
      <c r="G152" s="6"/>
      <c r="H152" s="10"/>
      <c r="I152" s="6"/>
      <c r="J152" s="10"/>
      <c r="K152" s="6"/>
      <c r="L152" s="10"/>
      <c r="M152" s="10"/>
      <c r="N152" s="6"/>
      <c r="O152" s="6"/>
      <c r="P152" s="6"/>
      <c r="Q152" s="6"/>
      <c r="R152" s="6"/>
      <c r="S152" s="6"/>
      <c r="T152" s="6"/>
      <c r="U152" s="6"/>
      <c r="V152" s="6"/>
      <c r="W152" s="6"/>
    </row>
    <row r="153" spans="2:23" ht="12.75" customHeight="1" x14ac:dyDescent="0.25">
      <c r="B153" s="6"/>
      <c r="C153" s="6"/>
      <c r="D153" s="28"/>
      <c r="E153" s="6"/>
      <c r="F153" s="7"/>
      <c r="G153" s="6"/>
      <c r="H153" s="7"/>
      <c r="I153" s="6"/>
      <c r="J153" s="7"/>
      <c r="K153" s="6"/>
      <c r="L153" s="7"/>
      <c r="M153" s="7"/>
      <c r="N153" s="6"/>
      <c r="O153" s="6"/>
      <c r="P153" s="6"/>
      <c r="Q153" s="6"/>
      <c r="R153" s="6"/>
      <c r="S153" s="6"/>
      <c r="T153" s="6"/>
      <c r="U153" s="6"/>
      <c r="V153" s="6"/>
      <c r="W153" s="6"/>
    </row>
    <row r="154" spans="2:23" ht="12.75" customHeight="1" x14ac:dyDescent="0.25"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</row>
    <row r="155" spans="2:23" ht="12.75" customHeight="1" x14ac:dyDescent="0.25">
      <c r="B155" s="6"/>
      <c r="C155" s="6"/>
      <c r="D155" s="28"/>
      <c r="E155" s="27"/>
      <c r="F155" s="12"/>
      <c r="G155" s="27"/>
      <c r="H155" s="12"/>
      <c r="I155" s="27"/>
      <c r="J155" s="12"/>
      <c r="K155" s="27"/>
      <c r="L155" s="12"/>
      <c r="M155" s="12"/>
      <c r="N155" s="6"/>
      <c r="O155" s="6"/>
      <c r="P155" s="6"/>
      <c r="Q155" s="6"/>
      <c r="R155" s="6"/>
      <c r="S155" s="6"/>
      <c r="T155" s="6"/>
      <c r="U155" s="6"/>
      <c r="V155" s="6"/>
      <c r="W155" s="6"/>
    </row>
    <row r="156" spans="2:23" ht="12.75" customHeight="1" x14ac:dyDescent="0.25"/>
    <row r="157" spans="2:23" ht="12.75" customHeight="1" x14ac:dyDescent="0.25"/>
    <row r="158" spans="2:23" ht="12.75" customHeight="1" x14ac:dyDescent="0.25"/>
    <row r="159" spans="2:23" ht="12.75" customHeight="1" x14ac:dyDescent="0.25"/>
    <row r="160" spans="2:23" ht="12.75" customHeight="1" x14ac:dyDescent="0.25"/>
    <row r="161" ht="12.75" customHeight="1" x14ac:dyDescent="0.25"/>
    <row r="162" ht="12.75" customHeight="1" x14ac:dyDescent="0.25"/>
    <row r="163" ht="12.75" customHeight="1" x14ac:dyDescent="0.25"/>
    <row r="164" ht="12.75" customHeight="1" x14ac:dyDescent="0.25"/>
    <row r="165" ht="12.75" customHeight="1" x14ac:dyDescent="0.25"/>
    <row r="166" ht="12.75" customHeight="1" x14ac:dyDescent="0.25"/>
    <row r="167" ht="12.75" customHeight="1" x14ac:dyDescent="0.25"/>
  </sheetData>
  <sheetProtection algorithmName="SHA-512" hashValue="TirbdMqWeVWjgr9XATlJ4blnwJJK8tfXbCzm49OO2hENnTpwbz5XURrFi0VEGn5WmHbhy5JB9vOVCpKAlfc2vA==" saltValue="8tP/C1A4d5BCEoyw8IImsg==" spinCount="100000" sheet="1" objects="1" scenarios="1"/>
  <mergeCells count="20">
    <mergeCell ref="M5:O5"/>
    <mergeCell ref="J10:K10"/>
    <mergeCell ref="H10:I10"/>
    <mergeCell ref="F10:G10"/>
    <mergeCell ref="D10:E10"/>
    <mergeCell ref="H8:I8"/>
    <mergeCell ref="H7:I7"/>
    <mergeCell ref="D5:E5"/>
    <mergeCell ref="M11:O11"/>
    <mergeCell ref="F7:G7"/>
    <mergeCell ref="D7:E7"/>
    <mergeCell ref="J7:K7"/>
    <mergeCell ref="J8:K8"/>
    <mergeCell ref="B135:C135"/>
    <mergeCell ref="D8:E8"/>
    <mergeCell ref="F8:G8"/>
    <mergeCell ref="B5:C5"/>
    <mergeCell ref="D4:E4"/>
    <mergeCell ref="B7:C7"/>
    <mergeCell ref="B8:C9"/>
  </mergeCells>
  <phoneticPr fontId="5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portrait" verticalDpi="4" r:id="rId1"/>
  <headerFooter alignWithMargins="0"/>
  <rowBreaks count="1" manualBreakCount="1">
    <brk id="70" min="1" max="25" man="1"/>
  </rowBreaks>
  <colBreaks count="1" manualBreakCount="1">
    <brk id="11" min="1" max="125" man="1"/>
  </colBreaks>
  <ignoredErrors>
    <ignoredError sqref="H13 J13 O1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4">
    <tabColor rgb="FF0152A1"/>
  </sheetPr>
  <dimension ref="A2:Y75"/>
  <sheetViews>
    <sheetView showGridLines="0" showZeros="0" defaultGridColor="0" colorId="55" zoomScaleNormal="100" workbookViewId="0">
      <selection activeCell="B11" sqref="B11"/>
    </sheetView>
  </sheetViews>
  <sheetFormatPr defaultRowHeight="13.2" x14ac:dyDescent="0.25"/>
  <cols>
    <col min="1" max="1" width="11.6640625" customWidth="1"/>
    <col min="2" max="2" width="31.5546875" customWidth="1"/>
    <col min="3" max="3" width="9" style="32" customWidth="1"/>
    <col min="4" max="4" width="5.88671875" customWidth="1"/>
    <col min="5" max="8" width="13.33203125" customWidth="1"/>
    <col min="9" max="9" width="5.33203125" customWidth="1"/>
    <col min="10" max="10" width="1" customWidth="1"/>
    <col min="11" max="11" width="1.109375" customWidth="1"/>
    <col min="14" max="21" width="8.88671875" customWidth="1"/>
    <col min="22" max="22" width="10.6640625" customWidth="1"/>
  </cols>
  <sheetData>
    <row r="2" spans="1:25" ht="15.6" x14ac:dyDescent="0.3">
      <c r="B2" s="19" t="s">
        <v>262</v>
      </c>
      <c r="C2"/>
      <c r="D2" s="19"/>
      <c r="E2" s="47"/>
      <c r="F2" s="19"/>
      <c r="J2" s="2" t="str">
        <f>B2</f>
        <v>E2  LIIKEVAIHDON MUODOSTUMINEN</v>
      </c>
      <c r="N2" s="339"/>
    </row>
    <row r="3" spans="1:25" ht="13.5" customHeight="1" x14ac:dyDescent="0.25">
      <c r="B3" s="2"/>
      <c r="C3" s="5"/>
      <c r="D3" s="1753"/>
      <c r="E3" s="595"/>
      <c r="F3" s="5"/>
      <c r="G3" s="5"/>
      <c r="H3" s="5"/>
      <c r="N3" s="340"/>
    </row>
    <row r="4" spans="1:25" ht="17.25" customHeight="1" x14ac:dyDescent="0.25">
      <c r="B4" s="34" t="s">
        <v>10</v>
      </c>
      <c r="C4" s="42"/>
      <c r="D4" s="14" t="s">
        <v>3</v>
      </c>
      <c r="E4" s="34"/>
      <c r="F4" s="34" t="s">
        <v>8</v>
      </c>
      <c r="G4" s="14" t="s">
        <v>3</v>
      </c>
      <c r="H4" s="14" t="s">
        <v>3</v>
      </c>
      <c r="I4" s="23" t="s">
        <v>3</v>
      </c>
      <c r="J4" s="23" t="s">
        <v>3</v>
      </c>
      <c r="K4" s="23" t="s">
        <v>3</v>
      </c>
      <c r="L4" s="14"/>
      <c r="N4" s="340"/>
    </row>
    <row r="5" spans="1:25" ht="14.25" customHeight="1" x14ac:dyDescent="0.3">
      <c r="B5" s="1991">
        <f>'7. T2 TULOSSUUN.'!B5:D5</f>
        <v>0</v>
      </c>
      <c r="C5" s="1991"/>
      <c r="D5" s="1991"/>
      <c r="E5" s="1858"/>
      <c r="F5" s="1508">
        <f>'1. T1 INVESTOINTISUUN.'!F4</f>
        <v>0</v>
      </c>
      <c r="G5" s="1859"/>
      <c r="H5" s="1859"/>
      <c r="I5" s="16"/>
      <c r="J5" s="1925"/>
      <c r="K5" s="1925"/>
      <c r="L5" s="1925"/>
      <c r="M5" s="19"/>
      <c r="N5" s="341"/>
      <c r="X5" s="6"/>
      <c r="Y5" s="6"/>
    </row>
    <row r="6" spans="1:25" ht="6" customHeight="1" thickBot="1" x14ac:dyDescent="0.3">
      <c r="F6" s="13"/>
      <c r="G6" s="13"/>
      <c r="H6" s="13"/>
      <c r="M6" s="535"/>
      <c r="N6" s="535"/>
      <c r="O6" s="535"/>
      <c r="P6" s="535"/>
      <c r="Q6" s="535"/>
      <c r="R6" s="535"/>
      <c r="S6" s="535"/>
      <c r="T6" s="535"/>
      <c r="U6" s="535"/>
      <c r="V6" s="535"/>
      <c r="W6" s="535"/>
      <c r="X6" s="6"/>
      <c r="Y6" s="6"/>
    </row>
    <row r="7" spans="1:25" x14ac:dyDescent="0.25">
      <c r="B7" s="1992" t="s">
        <v>263</v>
      </c>
      <c r="C7" s="1993"/>
      <c r="D7" s="1315"/>
      <c r="E7" s="1316" t="str">
        <f>'1. T1 INVESTOINTISUUN.'!E15</f>
        <v>Ennuste 1</v>
      </c>
      <c r="F7" s="1316" t="s">
        <v>20</v>
      </c>
      <c r="G7" s="1316" t="s">
        <v>21</v>
      </c>
      <c r="H7" s="1317" t="s">
        <v>22</v>
      </c>
      <c r="J7" s="337" t="s">
        <v>140</v>
      </c>
      <c r="K7" s="140"/>
      <c r="L7" s="333"/>
      <c r="M7" s="1860"/>
      <c r="N7" s="333"/>
      <c r="O7" s="379"/>
      <c r="P7" s="379"/>
      <c r="Q7" s="379"/>
      <c r="R7" s="379"/>
      <c r="S7" s="379"/>
      <c r="T7" s="379"/>
      <c r="U7" s="379"/>
      <c r="V7" s="380"/>
    </row>
    <row r="8" spans="1:25" ht="12.75" customHeight="1" x14ac:dyDescent="0.25">
      <c r="B8" s="1994"/>
      <c r="C8" s="1995"/>
      <c r="D8" s="1318"/>
      <c r="E8" s="1319">
        <f>'3. E1 KUSTANNUKSET'!D$8</f>
        <v>2024</v>
      </c>
      <c r="F8" s="1319">
        <f>'3. E1 KUSTANNUKSET'!F$8</f>
        <v>2025</v>
      </c>
      <c r="G8" s="1319">
        <f>'3. E1 KUSTANNUKSET'!H$8</f>
        <v>2026</v>
      </c>
      <c r="H8" s="1320">
        <f>'1. T1 INVESTOINTISUUN.'!H16</f>
        <v>2027</v>
      </c>
      <c r="I8" s="33"/>
      <c r="J8" s="158"/>
      <c r="K8" s="159"/>
      <c r="L8" s="159"/>
      <c r="M8" s="159"/>
      <c r="N8" s="159"/>
      <c r="O8" s="262"/>
      <c r="P8" s="262"/>
      <c r="Q8" s="262"/>
      <c r="R8" s="262"/>
      <c r="S8" s="262"/>
      <c r="T8" s="262"/>
      <c r="U8" s="262"/>
      <c r="V8" s="304"/>
    </row>
    <row r="9" spans="1:25" ht="12.75" customHeight="1" thickBot="1" x14ac:dyDescent="0.3">
      <c r="B9" s="1321"/>
      <c r="C9" s="1322"/>
      <c r="D9" s="1325" t="s">
        <v>143</v>
      </c>
      <c r="E9" s="1323">
        <f>'7. T2 TULOSSUUN.'!G10</f>
        <v>12</v>
      </c>
      <c r="F9" s="1323" t="str">
        <f>'7. T2 TULOSSUUN.'!I10</f>
        <v>12</v>
      </c>
      <c r="G9" s="1323" t="str">
        <f>'7. T2 TULOSSUUN.'!K10</f>
        <v>12</v>
      </c>
      <c r="H9" s="1324" t="str">
        <f>'7. T2 TULOSSUUN.'!M10</f>
        <v>12</v>
      </c>
      <c r="I9" s="33"/>
      <c r="J9" s="158"/>
      <c r="K9" s="159"/>
      <c r="L9" s="159"/>
      <c r="M9" s="159"/>
      <c r="N9" s="159"/>
      <c r="O9" s="262"/>
      <c r="P9" s="262"/>
      <c r="Q9" s="262"/>
      <c r="R9" s="262"/>
      <c r="S9" s="262"/>
      <c r="T9" s="262"/>
      <c r="U9" s="262"/>
      <c r="V9" s="304"/>
    </row>
    <row r="10" spans="1:25" ht="12" customHeight="1" x14ac:dyDescent="0.25">
      <c r="A10" s="41"/>
      <c r="B10" s="89"/>
      <c r="C10" s="90"/>
      <c r="D10" s="296" t="s">
        <v>264</v>
      </c>
      <c r="E10" s="297">
        <v>0.24</v>
      </c>
      <c r="F10" s="297">
        <f>E10</f>
        <v>0.24</v>
      </c>
      <c r="G10" s="297">
        <f>F10</f>
        <v>0.24</v>
      </c>
      <c r="H10" s="298">
        <f>G10</f>
        <v>0.24</v>
      </c>
      <c r="I10" s="33"/>
      <c r="J10" s="155"/>
      <c r="K10" s="156"/>
      <c r="L10" s="1996" t="s">
        <v>265</v>
      </c>
      <c r="M10" s="1996"/>
      <c r="N10" s="1996"/>
      <c r="O10" s="262"/>
      <c r="P10" s="262"/>
      <c r="Q10" s="262"/>
      <c r="R10" s="262"/>
      <c r="S10" s="262"/>
      <c r="T10" s="262"/>
      <c r="U10" s="262"/>
      <c r="V10" s="304"/>
    </row>
    <row r="11" spans="1:25" ht="12.75" customHeight="1" x14ac:dyDescent="0.25">
      <c r="B11" s="350" t="s">
        <v>266</v>
      </c>
      <c r="C11" s="351" t="s">
        <v>267</v>
      </c>
      <c r="D11" s="351" t="s">
        <v>268</v>
      </c>
      <c r="E11" s="1057">
        <f>E12*E13</f>
        <v>0</v>
      </c>
      <c r="F11" s="1057">
        <f>F12*F13</f>
        <v>0</v>
      </c>
      <c r="G11" s="1057">
        <f>G12*G13</f>
        <v>0</v>
      </c>
      <c r="H11" s="1058">
        <f>H12*H13</f>
        <v>0</v>
      </c>
      <c r="J11" s="600"/>
      <c r="L11" s="238">
        <f>F$8</f>
        <v>2025</v>
      </c>
      <c r="M11" s="238">
        <f>G$8</f>
        <v>2026</v>
      </c>
      <c r="N11" s="238">
        <f>H$8</f>
        <v>2027</v>
      </c>
      <c r="O11" s="262"/>
      <c r="P11" s="262"/>
      <c r="Q11" s="262"/>
      <c r="R11" s="262"/>
      <c r="S11" s="262"/>
      <c r="T11" s="262"/>
      <c r="U11" s="262"/>
      <c r="V11" s="304"/>
    </row>
    <row r="12" spans="1:25" ht="12" customHeight="1" x14ac:dyDescent="0.25">
      <c r="A12" s="41"/>
      <c r="B12" s="495" t="s">
        <v>269</v>
      </c>
      <c r="C12" s="496"/>
      <c r="D12" s="493"/>
      <c r="E12" s="1059">
        <v>0</v>
      </c>
      <c r="F12" s="1060">
        <f t="shared" ref="F12:H13" si="0">E12+E12*L12</f>
        <v>0</v>
      </c>
      <c r="G12" s="1060">
        <f t="shared" si="0"/>
        <v>0</v>
      </c>
      <c r="H12" s="1061">
        <f t="shared" si="0"/>
        <v>0</v>
      </c>
      <c r="J12" s="1984"/>
      <c r="K12" s="1985"/>
      <c r="L12" s="331">
        <v>0</v>
      </c>
      <c r="M12" s="331">
        <f>L12</f>
        <v>0</v>
      </c>
      <c r="N12" s="331">
        <f>M12</f>
        <v>0</v>
      </c>
      <c r="O12" s="601"/>
      <c r="P12" s="262"/>
      <c r="Q12" s="262"/>
      <c r="R12" s="262"/>
      <c r="S12" s="262"/>
      <c r="T12" s="262"/>
      <c r="U12" s="262"/>
      <c r="V12" s="304"/>
    </row>
    <row r="13" spans="1:25" ht="12" customHeight="1" x14ac:dyDescent="0.25">
      <c r="B13" s="495" t="s">
        <v>270</v>
      </c>
      <c r="C13" s="496"/>
      <c r="D13" s="351" t="s">
        <v>268</v>
      </c>
      <c r="E13" s="1062">
        <v>0</v>
      </c>
      <c r="F13" s="1062">
        <f t="shared" si="0"/>
        <v>0</v>
      </c>
      <c r="G13" s="1062">
        <f t="shared" si="0"/>
        <v>0</v>
      </c>
      <c r="H13" s="1063">
        <f t="shared" si="0"/>
        <v>0</v>
      </c>
      <c r="J13" s="1984"/>
      <c r="K13" s="1985"/>
      <c r="L13" s="331">
        <v>0.03</v>
      </c>
      <c r="M13" s="331">
        <f>L13</f>
        <v>0.03</v>
      </c>
      <c r="N13" s="331">
        <f>M13</f>
        <v>0.03</v>
      </c>
      <c r="O13" s="262"/>
      <c r="P13" s="262"/>
      <c r="Q13" s="262"/>
      <c r="R13" s="262"/>
      <c r="S13" s="262"/>
      <c r="T13" s="262"/>
      <c r="U13" s="262"/>
      <c r="V13" s="304"/>
    </row>
    <row r="14" spans="1:25" ht="12" customHeight="1" x14ac:dyDescent="0.25">
      <c r="A14" s="41"/>
      <c r="B14" s="1986" t="s">
        <v>271</v>
      </c>
      <c r="C14" s="1987"/>
      <c r="D14" s="1988"/>
      <c r="E14" s="1064">
        <v>0</v>
      </c>
      <c r="F14" s="1064">
        <f>E14</f>
        <v>0</v>
      </c>
      <c r="G14" s="1064">
        <f>F14</f>
        <v>0</v>
      </c>
      <c r="H14" s="1065">
        <f>G14</f>
        <v>0</v>
      </c>
      <c r="J14" s="155" t="s">
        <v>3</v>
      </c>
      <c r="K14" s="156"/>
      <c r="L14" s="156"/>
      <c r="M14" s="156"/>
      <c r="N14" s="156"/>
      <c r="O14" s="262"/>
      <c r="P14" s="262" t="s">
        <v>272</v>
      </c>
      <c r="Q14" s="262"/>
      <c r="R14" s="262"/>
      <c r="S14" s="262"/>
      <c r="T14" s="262"/>
      <c r="U14" s="262"/>
      <c r="V14" s="304"/>
    </row>
    <row r="15" spans="1:25" ht="12" customHeight="1" thickBot="1" x14ac:dyDescent="0.3">
      <c r="A15" s="2"/>
      <c r="B15" s="497" t="s">
        <v>273</v>
      </c>
      <c r="C15" s="499"/>
      <c r="D15" s="501" t="s">
        <v>268</v>
      </c>
      <c r="E15" s="1066">
        <f>IF(E14=0,0,E11*E14)</f>
        <v>0</v>
      </c>
      <c r="F15" s="1066">
        <f>IF(F14=0,0,F11*F14)</f>
        <v>0</v>
      </c>
      <c r="G15" s="1066">
        <f>IF(G14=0,0,G11*G14)</f>
        <v>0</v>
      </c>
      <c r="H15" s="1067">
        <f>IF(H14=0,0,H11*H14)</f>
        <v>0</v>
      </c>
      <c r="J15" s="155"/>
      <c r="K15" s="156"/>
      <c r="L15" s="156">
        <v>0</v>
      </c>
      <c r="M15" s="156"/>
      <c r="N15" s="156"/>
      <c r="O15" s="262"/>
      <c r="P15" s="262"/>
      <c r="Q15" s="262"/>
      <c r="R15" s="262"/>
      <c r="S15" s="262"/>
      <c r="T15" s="262"/>
      <c r="U15" s="262"/>
      <c r="V15" s="304"/>
    </row>
    <row r="16" spans="1:25" ht="12" customHeight="1" x14ac:dyDescent="0.25">
      <c r="A16" s="41"/>
      <c r="B16" s="89"/>
      <c r="C16" s="498"/>
      <c r="D16" s="296" t="s">
        <v>264</v>
      </c>
      <c r="E16" s="297">
        <v>0.24</v>
      </c>
      <c r="F16" s="297">
        <f>E16</f>
        <v>0.24</v>
      </c>
      <c r="G16" s="297">
        <f>F16</f>
        <v>0.24</v>
      </c>
      <c r="H16" s="298">
        <f>G16</f>
        <v>0.24</v>
      </c>
      <c r="I16" s="33"/>
      <c r="J16" s="155"/>
      <c r="K16" s="156"/>
      <c r="L16" s="156"/>
      <c r="M16" s="156"/>
      <c r="N16" s="156"/>
      <c r="O16" s="262"/>
      <c r="P16" s="262"/>
      <c r="Q16" s="262"/>
      <c r="R16" s="262"/>
      <c r="S16" s="262"/>
      <c r="T16" s="262"/>
      <c r="U16" s="262"/>
      <c r="V16" s="304"/>
    </row>
    <row r="17" spans="1:22" ht="12.75" customHeight="1" x14ac:dyDescent="0.25">
      <c r="B17" s="350">
        <v>0</v>
      </c>
      <c r="C17" s="351" t="s">
        <v>267</v>
      </c>
      <c r="D17" s="351" t="s">
        <v>268</v>
      </c>
      <c r="E17" s="1057">
        <f>E18*E19</f>
        <v>0</v>
      </c>
      <c r="F17" s="1057">
        <f>F18*F19</f>
        <v>0</v>
      </c>
      <c r="G17" s="1057">
        <f>G18*G19</f>
        <v>0</v>
      </c>
      <c r="H17" s="1058">
        <f>H18*H19</f>
        <v>0</v>
      </c>
      <c r="J17" s="600"/>
      <c r="L17" s="1673"/>
      <c r="M17" s="1673"/>
      <c r="N17" s="1673"/>
      <c r="O17" s="262"/>
      <c r="P17" s="262"/>
      <c r="Q17" s="262"/>
      <c r="R17" s="262"/>
      <c r="S17" s="262"/>
      <c r="T17" s="262"/>
      <c r="U17" s="262"/>
      <c r="V17" s="304"/>
    </row>
    <row r="18" spans="1:22" ht="12" customHeight="1" x14ac:dyDescent="0.25">
      <c r="A18" s="41"/>
      <c r="B18" s="495" t="s">
        <v>269</v>
      </c>
      <c r="C18" s="496"/>
      <c r="D18" s="493"/>
      <c r="E18" s="1059">
        <v>0</v>
      </c>
      <c r="F18" s="1060">
        <f t="shared" ref="F18:H19" si="1">E18+E18*L18</f>
        <v>0</v>
      </c>
      <c r="G18" s="1060">
        <f t="shared" si="1"/>
        <v>0</v>
      </c>
      <c r="H18" s="1061">
        <f t="shared" si="1"/>
        <v>0</v>
      </c>
      <c r="J18" s="1984"/>
      <c r="K18" s="1985"/>
      <c r="L18" s="1672">
        <v>0</v>
      </c>
      <c r="M18" s="1672">
        <v>0</v>
      </c>
      <c r="N18" s="1672">
        <v>0</v>
      </c>
      <c r="O18" s="601"/>
      <c r="P18" s="262"/>
      <c r="Q18" s="262"/>
      <c r="R18" s="262"/>
      <c r="S18" s="262"/>
      <c r="T18" s="262"/>
      <c r="U18" s="262"/>
      <c r="V18" s="304"/>
    </row>
    <row r="19" spans="1:22" ht="12" customHeight="1" x14ac:dyDescent="0.25">
      <c r="B19" s="495" t="s">
        <v>270</v>
      </c>
      <c r="C19" s="496"/>
      <c r="D19" s="351" t="s">
        <v>268</v>
      </c>
      <c r="E19" s="1062">
        <v>0</v>
      </c>
      <c r="F19" s="1062">
        <f t="shared" si="1"/>
        <v>0</v>
      </c>
      <c r="G19" s="1062">
        <f t="shared" si="1"/>
        <v>0</v>
      </c>
      <c r="H19" s="1063">
        <f t="shared" si="1"/>
        <v>0</v>
      </c>
      <c r="J19" s="1984"/>
      <c r="K19" s="1985"/>
      <c r="L19" s="331">
        <v>0.03</v>
      </c>
      <c r="M19" s="331">
        <f>L19</f>
        <v>0.03</v>
      </c>
      <c r="N19" s="331">
        <f>M19</f>
        <v>0.03</v>
      </c>
      <c r="O19" s="262"/>
      <c r="P19" s="262"/>
      <c r="Q19" s="262"/>
      <c r="R19" s="262"/>
      <c r="S19" s="262"/>
      <c r="T19" s="262"/>
      <c r="U19" s="262"/>
      <c r="V19" s="304"/>
    </row>
    <row r="20" spans="1:22" ht="12" customHeight="1" x14ac:dyDescent="0.25">
      <c r="A20" s="41"/>
      <c r="B20" s="1986" t="s">
        <v>271</v>
      </c>
      <c r="C20" s="1987"/>
      <c r="D20" s="1988"/>
      <c r="E20" s="1064">
        <v>0</v>
      </c>
      <c r="F20" s="1064">
        <f>E20</f>
        <v>0</v>
      </c>
      <c r="G20" s="1064">
        <f>F20</f>
        <v>0</v>
      </c>
      <c r="H20" s="1065">
        <f>G20</f>
        <v>0</v>
      </c>
      <c r="J20" s="155" t="s">
        <v>3</v>
      </c>
      <c r="K20" s="156"/>
      <c r="L20" s="156"/>
      <c r="M20" s="156"/>
      <c r="N20" s="156"/>
      <c r="O20" s="262"/>
      <c r="P20" s="262" t="s">
        <v>272</v>
      </c>
      <c r="Q20" s="262"/>
      <c r="R20" s="262"/>
      <c r="S20" s="262"/>
      <c r="T20" s="262"/>
      <c r="U20" s="262"/>
      <c r="V20" s="304"/>
    </row>
    <row r="21" spans="1:22" ht="12" customHeight="1" thickBot="1" x14ac:dyDescent="0.3">
      <c r="A21" s="2"/>
      <c r="B21" s="497" t="s">
        <v>273</v>
      </c>
      <c r="C21" s="499"/>
      <c r="D21" s="501" t="s">
        <v>268</v>
      </c>
      <c r="E21" s="1066">
        <f>IF(E20=0,0,E17*E20)</f>
        <v>0</v>
      </c>
      <c r="F21" s="1066">
        <f>IF(F20=0,0,F17*F20)</f>
        <v>0</v>
      </c>
      <c r="G21" s="1066">
        <f>IF(G20=0,0,G17*G20)</f>
        <v>0</v>
      </c>
      <c r="H21" s="1067">
        <f>IF(H20=0,0,H17*H20)</f>
        <v>0</v>
      </c>
      <c r="J21" s="155"/>
      <c r="K21" s="156"/>
      <c r="L21" s="156"/>
      <c r="M21" s="156"/>
      <c r="N21" s="156"/>
      <c r="O21" s="262"/>
      <c r="P21" s="262"/>
      <c r="Q21" s="262"/>
      <c r="R21" s="262"/>
      <c r="S21" s="262"/>
      <c r="T21" s="262"/>
      <c r="U21" s="262"/>
      <c r="V21" s="304"/>
    </row>
    <row r="22" spans="1:22" ht="12" customHeight="1" x14ac:dyDescent="0.25">
      <c r="B22" s="89"/>
      <c r="C22" s="90"/>
      <c r="D22" s="296" t="s">
        <v>264</v>
      </c>
      <c r="E22" s="297">
        <v>0.24</v>
      </c>
      <c r="F22" s="297">
        <f>E22</f>
        <v>0.24</v>
      </c>
      <c r="G22" s="297">
        <f>F22</f>
        <v>0.24</v>
      </c>
      <c r="H22" s="298">
        <f>G22</f>
        <v>0.24</v>
      </c>
      <c r="I22" s="33"/>
      <c r="J22" s="155"/>
      <c r="K22" s="156"/>
      <c r="L22" s="156"/>
      <c r="M22" s="156"/>
      <c r="N22" s="156"/>
      <c r="O22" s="262"/>
      <c r="P22" s="262"/>
      <c r="Q22" s="262"/>
      <c r="R22" s="262"/>
      <c r="S22" s="262"/>
      <c r="T22" s="262"/>
      <c r="U22" s="262"/>
      <c r="V22" s="304"/>
    </row>
    <row r="23" spans="1:22" ht="12.75" customHeight="1" x14ac:dyDescent="0.25">
      <c r="B23" s="350">
        <v>0</v>
      </c>
      <c r="C23" s="351" t="s">
        <v>267</v>
      </c>
      <c r="D23" s="351" t="s">
        <v>268</v>
      </c>
      <c r="E23" s="1057">
        <f>E24*E25</f>
        <v>0</v>
      </c>
      <c r="F23" s="1057">
        <f>F24*F25</f>
        <v>0</v>
      </c>
      <c r="G23" s="1057">
        <f>G24*G25</f>
        <v>0</v>
      </c>
      <c r="H23" s="1058">
        <f>H24*H25</f>
        <v>0</v>
      </c>
      <c r="J23" s="600"/>
      <c r="L23" s="1673">
        <v>0</v>
      </c>
      <c r="M23" s="1673"/>
      <c r="N23" s="1673"/>
      <c r="O23" s="262"/>
      <c r="P23" s="262"/>
      <c r="Q23" s="262"/>
      <c r="R23" s="262"/>
      <c r="S23" s="262"/>
      <c r="T23" s="262"/>
      <c r="U23" s="262"/>
      <c r="V23" s="304"/>
    </row>
    <row r="24" spans="1:22" ht="12" customHeight="1" x14ac:dyDescent="0.25">
      <c r="B24" s="495" t="s">
        <v>269</v>
      </c>
      <c r="C24" s="496"/>
      <c r="D24" s="493"/>
      <c r="E24" s="1059">
        <v>0</v>
      </c>
      <c r="F24" s="1060">
        <f t="shared" ref="F24:H25" si="2">E24+E24*L24</f>
        <v>0</v>
      </c>
      <c r="G24" s="1060">
        <f t="shared" si="2"/>
        <v>0</v>
      </c>
      <c r="H24" s="1061">
        <f t="shared" si="2"/>
        <v>0</v>
      </c>
      <c r="J24" s="1984"/>
      <c r="K24" s="1985"/>
      <c r="L24" s="1672">
        <v>0</v>
      </c>
      <c r="M24" s="1672">
        <f>L24</f>
        <v>0</v>
      </c>
      <c r="N24" s="1672">
        <f>M24</f>
        <v>0</v>
      </c>
      <c r="O24" s="601"/>
      <c r="P24" s="262"/>
      <c r="Q24" s="262"/>
      <c r="R24" s="262"/>
      <c r="S24" s="262"/>
      <c r="T24" s="262"/>
      <c r="U24" s="262"/>
      <c r="V24" s="304"/>
    </row>
    <row r="25" spans="1:22" ht="12" customHeight="1" x14ac:dyDescent="0.25">
      <c r="B25" s="495" t="s">
        <v>270</v>
      </c>
      <c r="C25" s="496"/>
      <c r="D25" s="351" t="s">
        <v>268</v>
      </c>
      <c r="E25" s="1062">
        <v>0</v>
      </c>
      <c r="F25" s="1062">
        <f t="shared" si="2"/>
        <v>0</v>
      </c>
      <c r="G25" s="1062">
        <f t="shared" si="2"/>
        <v>0</v>
      </c>
      <c r="H25" s="1063">
        <f t="shared" si="2"/>
        <v>0</v>
      </c>
      <c r="J25" s="1984"/>
      <c r="K25" s="1985"/>
      <c r="L25" s="331">
        <v>0.03</v>
      </c>
      <c r="M25" s="331">
        <f>L25</f>
        <v>0.03</v>
      </c>
      <c r="N25" s="331">
        <f>M25</f>
        <v>0.03</v>
      </c>
      <c r="O25" s="262"/>
      <c r="P25" s="262"/>
      <c r="Q25" s="262"/>
      <c r="R25" s="262"/>
      <c r="S25" s="262"/>
      <c r="T25" s="262"/>
      <c r="U25" s="262"/>
      <c r="V25" s="304"/>
    </row>
    <row r="26" spans="1:22" ht="12" customHeight="1" x14ac:dyDescent="0.25">
      <c r="B26" s="1986" t="s">
        <v>271</v>
      </c>
      <c r="C26" s="1987"/>
      <c r="D26" s="1988"/>
      <c r="E26" s="1064">
        <v>0</v>
      </c>
      <c r="F26" s="1064">
        <f>E26</f>
        <v>0</v>
      </c>
      <c r="G26" s="1064">
        <f>F26</f>
        <v>0</v>
      </c>
      <c r="H26" s="1065">
        <f>G26</f>
        <v>0</v>
      </c>
      <c r="J26" s="155" t="s">
        <v>3</v>
      </c>
      <c r="L26" s="156"/>
      <c r="M26" s="156"/>
      <c r="N26" s="156"/>
      <c r="O26" s="262"/>
      <c r="P26" s="262" t="s">
        <v>272</v>
      </c>
      <c r="Q26" s="262"/>
      <c r="R26" s="262"/>
      <c r="S26" s="262"/>
      <c r="T26" s="262"/>
      <c r="U26" s="262"/>
      <c r="V26" s="304"/>
    </row>
    <row r="27" spans="1:22" ht="12" customHeight="1" thickBot="1" x14ac:dyDescent="0.3">
      <c r="B27" s="497" t="s">
        <v>273</v>
      </c>
      <c r="C27" s="499"/>
      <c r="D27" s="501" t="s">
        <v>268</v>
      </c>
      <c r="E27" s="1066">
        <f>IF(E26=0,0,E23*E26)</f>
        <v>0</v>
      </c>
      <c r="F27" s="1066">
        <f>IF(F26=0,0,F23*F26)</f>
        <v>0</v>
      </c>
      <c r="G27" s="1066">
        <f>IF(G26=0,0,G23*G26)</f>
        <v>0</v>
      </c>
      <c r="H27" s="1067">
        <f>IF(H26=0,0,H23*H26)</f>
        <v>0</v>
      </c>
      <c r="J27" s="155"/>
      <c r="L27" s="156"/>
      <c r="M27" s="156"/>
      <c r="N27" s="156"/>
      <c r="O27" s="262"/>
      <c r="P27" s="262"/>
      <c r="Q27" s="262"/>
      <c r="R27" s="262"/>
      <c r="S27" s="262"/>
      <c r="T27" s="262"/>
      <c r="U27" s="262"/>
      <c r="V27" s="304"/>
    </row>
    <row r="28" spans="1:22" ht="12" customHeight="1" x14ac:dyDescent="0.25">
      <c r="B28" s="89"/>
      <c r="C28" s="90"/>
      <c r="D28" s="296" t="s">
        <v>264</v>
      </c>
      <c r="E28" s="297">
        <v>0.24</v>
      </c>
      <c r="F28" s="297">
        <f>E28</f>
        <v>0.24</v>
      </c>
      <c r="G28" s="297">
        <f>F28</f>
        <v>0.24</v>
      </c>
      <c r="H28" s="298">
        <f>G28</f>
        <v>0.24</v>
      </c>
      <c r="I28" s="33"/>
      <c r="J28" s="155"/>
      <c r="K28" s="156"/>
      <c r="L28" s="156"/>
      <c r="M28" s="156"/>
      <c r="N28" s="156"/>
      <c r="O28" s="262"/>
      <c r="P28" s="262"/>
      <c r="Q28" s="262"/>
      <c r="R28" s="262"/>
      <c r="S28" s="262"/>
      <c r="T28" s="262"/>
      <c r="U28" s="262"/>
      <c r="V28" s="304"/>
    </row>
    <row r="29" spans="1:22" ht="12.75" customHeight="1" x14ac:dyDescent="0.25">
      <c r="B29" s="350">
        <v>0</v>
      </c>
      <c r="C29" s="351" t="s">
        <v>267</v>
      </c>
      <c r="D29" s="351" t="s">
        <v>268</v>
      </c>
      <c r="E29" s="1057">
        <f>E30*E31</f>
        <v>0</v>
      </c>
      <c r="F29" s="1057">
        <f>F30*F31</f>
        <v>0</v>
      </c>
      <c r="G29" s="1057">
        <f>G30*G31</f>
        <v>0</v>
      </c>
      <c r="H29" s="1058">
        <f>H30*H31</f>
        <v>0</v>
      </c>
      <c r="J29" s="600"/>
      <c r="L29" s="1673"/>
      <c r="M29" s="1673"/>
      <c r="N29" s="1673"/>
      <c r="O29" s="262"/>
      <c r="P29" s="262"/>
      <c r="Q29" s="262"/>
      <c r="R29" s="262"/>
      <c r="S29" s="262"/>
      <c r="T29" s="262"/>
      <c r="U29" s="262"/>
      <c r="V29" s="304"/>
    </row>
    <row r="30" spans="1:22" ht="12" customHeight="1" x14ac:dyDescent="0.25">
      <c r="B30" s="495" t="s">
        <v>269</v>
      </c>
      <c r="C30" s="496"/>
      <c r="D30" s="493"/>
      <c r="E30" s="1059">
        <v>0</v>
      </c>
      <c r="F30" s="1060">
        <f t="shared" ref="F30:H31" si="3">E30+E30*L30</f>
        <v>0</v>
      </c>
      <c r="G30" s="1060">
        <f t="shared" si="3"/>
        <v>0</v>
      </c>
      <c r="H30" s="1061">
        <f t="shared" si="3"/>
        <v>0</v>
      </c>
      <c r="J30" s="1984"/>
      <c r="K30" s="1985"/>
      <c r="L30" s="1672">
        <v>0</v>
      </c>
      <c r="M30" s="1672">
        <f>L30</f>
        <v>0</v>
      </c>
      <c r="N30" s="1672">
        <f>M30</f>
        <v>0</v>
      </c>
      <c r="O30" s="601"/>
      <c r="P30" s="262"/>
      <c r="Q30" s="262"/>
      <c r="R30" s="262"/>
      <c r="S30" s="262"/>
      <c r="T30" s="262"/>
      <c r="U30" s="262"/>
      <c r="V30" s="304"/>
    </row>
    <row r="31" spans="1:22" ht="12" customHeight="1" x14ac:dyDescent="0.25">
      <c r="B31" s="495" t="s">
        <v>270</v>
      </c>
      <c r="C31" s="496"/>
      <c r="D31" s="351" t="s">
        <v>268</v>
      </c>
      <c r="E31" s="1062">
        <v>0</v>
      </c>
      <c r="F31" s="1062">
        <f t="shared" si="3"/>
        <v>0</v>
      </c>
      <c r="G31" s="1062">
        <f t="shared" si="3"/>
        <v>0</v>
      </c>
      <c r="H31" s="1063">
        <f t="shared" si="3"/>
        <v>0</v>
      </c>
      <c r="J31" s="1984"/>
      <c r="K31" s="1985"/>
      <c r="L31" s="331">
        <v>0.03</v>
      </c>
      <c r="M31" s="331">
        <f>L31</f>
        <v>0.03</v>
      </c>
      <c r="N31" s="331">
        <f>M31</f>
        <v>0.03</v>
      </c>
      <c r="O31" s="262"/>
      <c r="P31" s="262"/>
      <c r="Q31" s="262"/>
      <c r="R31" s="262"/>
      <c r="S31" s="262"/>
      <c r="T31" s="262"/>
      <c r="U31" s="262"/>
      <c r="V31" s="304"/>
    </row>
    <row r="32" spans="1:22" ht="12" customHeight="1" x14ac:dyDescent="0.25">
      <c r="B32" s="1986" t="s">
        <v>271</v>
      </c>
      <c r="C32" s="1987"/>
      <c r="D32" s="1988"/>
      <c r="E32" s="1064">
        <v>0</v>
      </c>
      <c r="F32" s="1064">
        <f>E32</f>
        <v>0</v>
      </c>
      <c r="G32" s="1064">
        <f>F32</f>
        <v>0</v>
      </c>
      <c r="H32" s="1065">
        <f>G32</f>
        <v>0</v>
      </c>
      <c r="J32" s="155" t="s">
        <v>3</v>
      </c>
      <c r="L32" s="156"/>
      <c r="M32" s="156"/>
      <c r="N32" s="156"/>
      <c r="O32" s="262"/>
      <c r="P32" s="262" t="s">
        <v>272</v>
      </c>
      <c r="Q32" s="262"/>
      <c r="R32" s="262"/>
      <c r="S32" s="262"/>
      <c r="T32" s="262"/>
      <c r="U32" s="262"/>
      <c r="V32" s="304"/>
    </row>
    <row r="33" spans="1:22" ht="12" customHeight="1" thickBot="1" x14ac:dyDescent="0.3">
      <c r="B33" s="497" t="s">
        <v>273</v>
      </c>
      <c r="C33" s="499"/>
      <c r="D33" s="501" t="s">
        <v>268</v>
      </c>
      <c r="E33" s="1066">
        <f>IF(E32=0,0,E29*E32)</f>
        <v>0</v>
      </c>
      <c r="F33" s="1066">
        <f>IF(F32=0,0,F29*F32)</f>
        <v>0</v>
      </c>
      <c r="G33" s="1066">
        <f>IF(G32=0,0,G29*G32)</f>
        <v>0</v>
      </c>
      <c r="H33" s="1067">
        <f>IF(H32=0,0,H29*H32)</f>
        <v>0</v>
      </c>
      <c r="J33" s="155"/>
      <c r="L33" s="156"/>
      <c r="M33" s="156"/>
      <c r="N33" s="156"/>
      <c r="O33" s="262"/>
      <c r="P33" s="262"/>
      <c r="Q33" s="262"/>
      <c r="R33" s="262"/>
      <c r="S33" s="262"/>
      <c r="T33" s="262"/>
      <c r="U33" s="262"/>
      <c r="V33" s="304"/>
    </row>
    <row r="34" spans="1:22" ht="12" customHeight="1" x14ac:dyDescent="0.25">
      <c r="B34" s="89"/>
      <c r="C34" s="90"/>
      <c r="D34" s="296" t="s">
        <v>264</v>
      </c>
      <c r="E34" s="297">
        <v>0.24</v>
      </c>
      <c r="F34" s="297">
        <f>E34</f>
        <v>0.24</v>
      </c>
      <c r="G34" s="297">
        <f>F34</f>
        <v>0.24</v>
      </c>
      <c r="H34" s="298">
        <f>G34</f>
        <v>0.24</v>
      </c>
      <c r="I34" s="33"/>
      <c r="J34" s="155"/>
      <c r="K34" s="156"/>
      <c r="L34" s="156"/>
      <c r="M34" s="156"/>
      <c r="N34" s="156"/>
      <c r="O34" s="262"/>
      <c r="P34" s="262"/>
      <c r="Q34" s="262"/>
      <c r="R34" s="262"/>
      <c r="S34" s="262"/>
      <c r="T34" s="262"/>
      <c r="U34" s="262"/>
      <c r="V34" s="304"/>
    </row>
    <row r="35" spans="1:22" ht="12.75" customHeight="1" x14ac:dyDescent="0.25">
      <c r="B35" s="350">
        <v>0</v>
      </c>
      <c r="C35" s="351" t="s">
        <v>267</v>
      </c>
      <c r="D35" s="351" t="s">
        <v>268</v>
      </c>
      <c r="E35" s="1057">
        <f>E36*E37</f>
        <v>0</v>
      </c>
      <c r="F35" s="1057">
        <f>F36*F37</f>
        <v>0</v>
      </c>
      <c r="G35" s="1057">
        <f>G36*G37</f>
        <v>0</v>
      </c>
      <c r="H35" s="1058">
        <f>H36*H37</f>
        <v>0</v>
      </c>
      <c r="J35" s="600"/>
      <c r="L35" s="1673"/>
      <c r="M35" s="1673"/>
      <c r="N35" s="1673"/>
      <c r="O35" s="262"/>
      <c r="P35" s="262"/>
      <c r="Q35" s="262"/>
      <c r="R35" s="262"/>
      <c r="S35" s="262"/>
      <c r="T35" s="262"/>
      <c r="U35" s="262"/>
      <c r="V35" s="304"/>
    </row>
    <row r="36" spans="1:22" ht="12" customHeight="1" x14ac:dyDescent="0.25">
      <c r="B36" s="495" t="s">
        <v>269</v>
      </c>
      <c r="C36" s="496" t="s">
        <v>3</v>
      </c>
      <c r="D36" s="493"/>
      <c r="E36" s="1059">
        <v>0</v>
      </c>
      <c r="F36" s="1060">
        <f t="shared" ref="F36:H37" si="4">E36+E36*L36</f>
        <v>0</v>
      </c>
      <c r="G36" s="1060">
        <f t="shared" si="4"/>
        <v>0</v>
      </c>
      <c r="H36" s="1061">
        <f t="shared" si="4"/>
        <v>0</v>
      </c>
      <c r="J36" s="1984"/>
      <c r="K36" s="1985"/>
      <c r="L36" s="1672">
        <v>0</v>
      </c>
      <c r="M36" s="1672">
        <f>L36</f>
        <v>0</v>
      </c>
      <c r="N36" s="1672">
        <f>M36</f>
        <v>0</v>
      </c>
      <c r="O36" s="601"/>
      <c r="P36" s="262"/>
      <c r="Q36" s="262"/>
      <c r="R36" s="262"/>
      <c r="S36" s="262"/>
      <c r="T36" s="262"/>
      <c r="U36" s="262"/>
      <c r="V36" s="304"/>
    </row>
    <row r="37" spans="1:22" ht="12" customHeight="1" x14ac:dyDescent="0.25">
      <c r="B37" s="495" t="s">
        <v>270</v>
      </c>
      <c r="C37" s="496"/>
      <c r="D37" s="351" t="s">
        <v>268</v>
      </c>
      <c r="E37" s="1062">
        <v>0</v>
      </c>
      <c r="F37" s="1062">
        <f t="shared" si="4"/>
        <v>0</v>
      </c>
      <c r="G37" s="1062">
        <f t="shared" si="4"/>
        <v>0</v>
      </c>
      <c r="H37" s="1063">
        <f t="shared" si="4"/>
        <v>0</v>
      </c>
      <c r="J37" s="1984"/>
      <c r="K37" s="1985"/>
      <c r="L37" s="331">
        <v>0.03</v>
      </c>
      <c r="M37" s="331">
        <f>L37</f>
        <v>0.03</v>
      </c>
      <c r="N37" s="331">
        <f>M37</f>
        <v>0.03</v>
      </c>
      <c r="O37" s="262"/>
      <c r="P37" s="262"/>
      <c r="Q37" s="262"/>
      <c r="R37" s="262"/>
      <c r="S37" s="262"/>
      <c r="T37" s="262"/>
      <c r="U37" s="262"/>
      <c r="V37" s="304"/>
    </row>
    <row r="38" spans="1:22" ht="12" customHeight="1" x14ac:dyDescent="0.25">
      <c r="B38" s="1986" t="s">
        <v>271</v>
      </c>
      <c r="C38" s="1987"/>
      <c r="D38" s="1988"/>
      <c r="E38" s="1064">
        <v>0</v>
      </c>
      <c r="F38" s="1064">
        <f>E38</f>
        <v>0</v>
      </c>
      <c r="G38" s="1064">
        <f>F38</f>
        <v>0</v>
      </c>
      <c r="H38" s="1065">
        <f>G38</f>
        <v>0</v>
      </c>
      <c r="J38" s="155" t="s">
        <v>3</v>
      </c>
      <c r="L38" s="156"/>
      <c r="M38" s="156"/>
      <c r="N38" s="156"/>
      <c r="O38" s="262"/>
      <c r="P38" s="262" t="s">
        <v>272</v>
      </c>
      <c r="Q38" s="262"/>
      <c r="R38" s="262"/>
      <c r="S38" s="262"/>
      <c r="T38" s="262"/>
      <c r="U38" s="262"/>
      <c r="V38" s="304"/>
    </row>
    <row r="39" spans="1:22" ht="12" customHeight="1" thickBot="1" x14ac:dyDescent="0.3">
      <c r="B39" s="497" t="s">
        <v>273</v>
      </c>
      <c r="C39" s="499"/>
      <c r="D39" s="501" t="s">
        <v>268</v>
      </c>
      <c r="E39" s="1066">
        <f>IF(E38=0,0,E35*E38)</f>
        <v>0</v>
      </c>
      <c r="F39" s="1066">
        <f>IF(F38=0,0,F35*F38)</f>
        <v>0</v>
      </c>
      <c r="G39" s="1066">
        <f>IF(G38=0,0,G35*G38)</f>
        <v>0</v>
      </c>
      <c r="H39" s="1067">
        <f>IF(H38=0,0,H35*H38)</f>
        <v>0</v>
      </c>
      <c r="J39" s="155"/>
      <c r="L39" s="156"/>
      <c r="M39" s="156"/>
      <c r="N39" s="156"/>
      <c r="O39" s="262"/>
      <c r="P39" s="262"/>
      <c r="Q39" s="262"/>
      <c r="R39" s="262"/>
      <c r="S39" s="262"/>
      <c r="T39" s="262"/>
      <c r="U39" s="262"/>
      <c r="V39" s="304"/>
    </row>
    <row r="40" spans="1:22" ht="12" customHeight="1" x14ac:dyDescent="0.25">
      <c r="B40" s="89"/>
      <c r="C40" s="90"/>
      <c r="D40" s="296" t="s">
        <v>264</v>
      </c>
      <c r="E40" s="297">
        <v>0.24</v>
      </c>
      <c r="F40" s="297">
        <f>E40</f>
        <v>0.24</v>
      </c>
      <c r="G40" s="297">
        <f>F40</f>
        <v>0.24</v>
      </c>
      <c r="H40" s="298">
        <f>G40</f>
        <v>0.24</v>
      </c>
      <c r="I40" s="33"/>
      <c r="J40" s="155"/>
      <c r="K40" s="156"/>
      <c r="L40" s="156"/>
      <c r="M40" s="156"/>
      <c r="N40" s="156"/>
      <c r="O40" s="262"/>
      <c r="P40" s="262"/>
      <c r="Q40" s="262"/>
      <c r="R40" s="262"/>
      <c r="S40" s="262"/>
      <c r="T40" s="262"/>
      <c r="U40" s="262"/>
      <c r="V40" s="304"/>
    </row>
    <row r="41" spans="1:22" ht="12.75" customHeight="1" x14ac:dyDescent="0.25">
      <c r="A41" s="41"/>
      <c r="B41" s="350">
        <v>0</v>
      </c>
      <c r="C41" s="351" t="s">
        <v>267</v>
      </c>
      <c r="D41" s="351" t="s">
        <v>268</v>
      </c>
      <c r="E41" s="1057">
        <f>E42*E43</f>
        <v>0</v>
      </c>
      <c r="F41" s="1057">
        <f>F42*F43</f>
        <v>0</v>
      </c>
      <c r="G41" s="1057">
        <f>G42*G43</f>
        <v>0</v>
      </c>
      <c r="H41" s="1058">
        <f>H42*H43</f>
        <v>0</v>
      </c>
      <c r="J41" s="600"/>
      <c r="L41" s="1673"/>
      <c r="M41" s="1673"/>
      <c r="N41" s="1673"/>
      <c r="O41" s="262"/>
      <c r="P41" s="262"/>
      <c r="Q41" s="262"/>
      <c r="R41" s="262"/>
      <c r="S41" s="262"/>
      <c r="T41" s="262"/>
      <c r="U41" s="262"/>
      <c r="V41" s="304"/>
    </row>
    <row r="42" spans="1:22" ht="12" customHeight="1" x14ac:dyDescent="0.25">
      <c r="B42" s="495" t="s">
        <v>269</v>
      </c>
      <c r="C42" s="496"/>
      <c r="D42" s="493"/>
      <c r="E42" s="1059">
        <v>0</v>
      </c>
      <c r="F42" s="1060">
        <f t="shared" ref="F42:H43" si="5">E42+E42*L42</f>
        <v>0</v>
      </c>
      <c r="G42" s="1060">
        <f t="shared" si="5"/>
        <v>0</v>
      </c>
      <c r="H42" s="1061">
        <f t="shared" si="5"/>
        <v>0</v>
      </c>
      <c r="J42" s="1984"/>
      <c r="K42" s="1985"/>
      <c r="L42" s="1672">
        <v>0</v>
      </c>
      <c r="M42" s="1672">
        <f>L42</f>
        <v>0</v>
      </c>
      <c r="N42" s="1672">
        <f>M42</f>
        <v>0</v>
      </c>
      <c r="O42" s="601"/>
      <c r="P42" s="262"/>
      <c r="Q42" s="262"/>
      <c r="R42" s="262"/>
      <c r="S42" s="262"/>
      <c r="T42" s="262"/>
      <c r="U42" s="262"/>
      <c r="V42" s="304"/>
    </row>
    <row r="43" spans="1:22" ht="12" customHeight="1" x14ac:dyDescent="0.25">
      <c r="B43" s="495" t="s">
        <v>270</v>
      </c>
      <c r="C43" s="496"/>
      <c r="D43" s="351" t="s">
        <v>268</v>
      </c>
      <c r="E43" s="1062">
        <v>0</v>
      </c>
      <c r="F43" s="1062">
        <f t="shared" si="5"/>
        <v>0</v>
      </c>
      <c r="G43" s="1062">
        <f t="shared" si="5"/>
        <v>0</v>
      </c>
      <c r="H43" s="1063">
        <f t="shared" si="5"/>
        <v>0</v>
      </c>
      <c r="J43" s="1984"/>
      <c r="K43" s="1985"/>
      <c r="L43" s="331">
        <v>0.03</v>
      </c>
      <c r="M43" s="331">
        <f>L43</f>
        <v>0.03</v>
      </c>
      <c r="N43" s="331">
        <f>M43</f>
        <v>0.03</v>
      </c>
      <c r="O43" s="262"/>
      <c r="P43" s="262"/>
      <c r="Q43" s="262"/>
      <c r="R43" s="262"/>
      <c r="S43" s="262"/>
      <c r="T43" s="262"/>
      <c r="U43" s="262"/>
      <c r="V43" s="304"/>
    </row>
    <row r="44" spans="1:22" ht="12" customHeight="1" x14ac:dyDescent="0.25">
      <c r="B44" s="1986" t="s">
        <v>271</v>
      </c>
      <c r="C44" s="1987"/>
      <c r="D44" s="1988"/>
      <c r="E44" s="1064">
        <v>0</v>
      </c>
      <c r="F44" s="1064">
        <f>E44</f>
        <v>0</v>
      </c>
      <c r="G44" s="1064">
        <f>F44</f>
        <v>0</v>
      </c>
      <c r="H44" s="1065">
        <f>G44</f>
        <v>0</v>
      </c>
      <c r="J44" s="155" t="s">
        <v>3</v>
      </c>
      <c r="L44" s="156"/>
      <c r="M44" s="156"/>
      <c r="N44" s="156"/>
      <c r="O44" s="262"/>
      <c r="P44" s="262" t="s">
        <v>272</v>
      </c>
      <c r="Q44" s="262"/>
      <c r="R44" s="262"/>
      <c r="S44" s="262"/>
      <c r="T44" s="262"/>
      <c r="U44" s="262"/>
      <c r="V44" s="304"/>
    </row>
    <row r="45" spans="1:22" ht="12" customHeight="1" thickBot="1" x14ac:dyDescent="0.3">
      <c r="B45" s="497" t="s">
        <v>273</v>
      </c>
      <c r="C45" s="499"/>
      <c r="D45" s="501" t="s">
        <v>268</v>
      </c>
      <c r="E45" s="1066">
        <f>IF(E44=0,0,E41*E44)</f>
        <v>0</v>
      </c>
      <c r="F45" s="1066">
        <f>IF(F44=0,0,F41*F44)</f>
        <v>0</v>
      </c>
      <c r="G45" s="1066">
        <f>IF(G44=0,0,G41*G44)</f>
        <v>0</v>
      </c>
      <c r="H45" s="1067">
        <f>IF(H44=0,0,H41*H44)</f>
        <v>0</v>
      </c>
      <c r="J45" s="155"/>
      <c r="L45" s="156"/>
      <c r="M45" s="156"/>
      <c r="N45" s="156"/>
      <c r="O45" s="262"/>
      <c r="P45" s="262"/>
      <c r="Q45" s="262"/>
      <c r="R45" s="262"/>
      <c r="S45" s="262"/>
      <c r="T45" s="262"/>
      <c r="U45" s="262"/>
      <c r="V45" s="304"/>
    </row>
    <row r="46" spans="1:22" ht="12" customHeight="1" x14ac:dyDescent="0.25">
      <c r="B46" s="89"/>
      <c r="C46" s="90"/>
      <c r="D46" s="296" t="s">
        <v>264</v>
      </c>
      <c r="E46" s="297">
        <v>0.24</v>
      </c>
      <c r="F46" s="297">
        <f>E46</f>
        <v>0.24</v>
      </c>
      <c r="G46" s="297">
        <f>F46</f>
        <v>0.24</v>
      </c>
      <c r="H46" s="298">
        <f>G46</f>
        <v>0.24</v>
      </c>
      <c r="I46" s="33"/>
      <c r="J46" s="1989"/>
      <c r="K46" s="1990"/>
      <c r="L46" s="1990"/>
      <c r="M46" s="1990"/>
      <c r="N46" s="156"/>
      <c r="O46" s="262"/>
      <c r="P46" s="262"/>
      <c r="Q46" s="262"/>
      <c r="R46" s="262"/>
      <c r="S46" s="262"/>
      <c r="T46" s="262"/>
      <c r="U46" s="262"/>
      <c r="V46" s="304"/>
    </row>
    <row r="47" spans="1:22" ht="12.75" customHeight="1" x14ac:dyDescent="0.25">
      <c r="A47" s="41"/>
      <c r="B47" s="350">
        <v>0</v>
      </c>
      <c r="C47" s="351" t="s">
        <v>267</v>
      </c>
      <c r="D47" s="351" t="s">
        <v>268</v>
      </c>
      <c r="E47" s="1057">
        <f>E48*E49</f>
        <v>0</v>
      </c>
      <c r="F47" s="1057">
        <f>F48*F49</f>
        <v>0</v>
      </c>
      <c r="G47" s="1057">
        <f>G48*G49</f>
        <v>0</v>
      </c>
      <c r="H47" s="1058">
        <f>H48*H49</f>
        <v>0</v>
      </c>
      <c r="J47" s="600"/>
      <c r="L47" s="1673"/>
      <c r="M47" s="1673"/>
      <c r="N47" s="1673"/>
      <c r="O47" s="262"/>
      <c r="P47" s="262"/>
      <c r="Q47" s="262"/>
      <c r="R47" s="262"/>
      <c r="S47" s="262"/>
      <c r="T47" s="262"/>
      <c r="U47" s="262"/>
      <c r="V47" s="304"/>
    </row>
    <row r="48" spans="1:22" ht="12" customHeight="1" x14ac:dyDescent="0.25">
      <c r="B48" s="495" t="s">
        <v>269</v>
      </c>
      <c r="C48" s="496"/>
      <c r="D48" s="493"/>
      <c r="E48" s="1059">
        <v>0</v>
      </c>
      <c r="F48" s="1060">
        <f t="shared" ref="F48:H49" si="6">E48+E48*L48</f>
        <v>0</v>
      </c>
      <c r="G48" s="1060">
        <f t="shared" si="6"/>
        <v>0</v>
      </c>
      <c r="H48" s="1061">
        <f t="shared" si="6"/>
        <v>0</v>
      </c>
      <c r="J48" s="1984"/>
      <c r="K48" s="1985"/>
      <c r="L48" s="1672">
        <v>0</v>
      </c>
      <c r="M48" s="1672">
        <f>L48</f>
        <v>0</v>
      </c>
      <c r="N48" s="1672">
        <f>M48</f>
        <v>0</v>
      </c>
      <c r="O48" s="601"/>
      <c r="P48" s="262"/>
      <c r="Q48" s="262"/>
      <c r="R48" s="262"/>
      <c r="S48" s="262"/>
      <c r="T48" s="262"/>
      <c r="U48" s="262"/>
      <c r="V48" s="304"/>
    </row>
    <row r="49" spans="2:22" ht="12" customHeight="1" x14ac:dyDescent="0.25">
      <c r="B49" s="495" t="s">
        <v>270</v>
      </c>
      <c r="C49" s="496"/>
      <c r="D49" s="351" t="s">
        <v>268</v>
      </c>
      <c r="E49" s="1062">
        <v>0</v>
      </c>
      <c r="F49" s="1062">
        <f t="shared" si="6"/>
        <v>0</v>
      </c>
      <c r="G49" s="1062">
        <f t="shared" si="6"/>
        <v>0</v>
      </c>
      <c r="H49" s="1063">
        <f t="shared" si="6"/>
        <v>0</v>
      </c>
      <c r="J49" s="1984"/>
      <c r="K49" s="1985"/>
      <c r="L49" s="331">
        <v>0.03</v>
      </c>
      <c r="M49" s="331">
        <f>L49</f>
        <v>0.03</v>
      </c>
      <c r="N49" s="331">
        <f>M49</f>
        <v>0.03</v>
      </c>
      <c r="O49" s="262"/>
      <c r="P49" s="262"/>
      <c r="Q49" s="262"/>
      <c r="R49" s="262"/>
      <c r="S49" s="262"/>
      <c r="T49" s="262"/>
      <c r="U49" s="262"/>
      <c r="V49" s="304"/>
    </row>
    <row r="50" spans="2:22" ht="12" customHeight="1" x14ac:dyDescent="0.25">
      <c r="B50" s="1986" t="s">
        <v>271</v>
      </c>
      <c r="C50" s="1987"/>
      <c r="D50" s="1988"/>
      <c r="E50" s="1064">
        <v>0</v>
      </c>
      <c r="F50" s="1064">
        <f>E50</f>
        <v>0</v>
      </c>
      <c r="G50" s="1064">
        <f>F50</f>
        <v>0</v>
      </c>
      <c r="H50" s="1065">
        <f>G50</f>
        <v>0</v>
      </c>
      <c r="J50" s="155"/>
      <c r="K50" s="602"/>
      <c r="L50" s="156"/>
      <c r="M50" s="156"/>
      <c r="N50" s="156"/>
      <c r="O50" s="262"/>
      <c r="P50" s="262" t="s">
        <v>272</v>
      </c>
      <c r="Q50" s="262"/>
      <c r="R50" s="262"/>
      <c r="S50" s="262"/>
      <c r="T50" s="262"/>
      <c r="U50" s="262"/>
      <c r="V50" s="304"/>
    </row>
    <row r="51" spans="2:22" ht="12" customHeight="1" thickBot="1" x14ac:dyDescent="0.3">
      <c r="B51" s="497" t="s">
        <v>273</v>
      </c>
      <c r="C51" s="499"/>
      <c r="D51" s="501" t="s">
        <v>268</v>
      </c>
      <c r="E51" s="1066">
        <f>IF(E50=0,0,E47*E50)</f>
        <v>0</v>
      </c>
      <c r="F51" s="1066">
        <f>IF(F50=0,0,F47*F50)</f>
        <v>0</v>
      </c>
      <c r="G51" s="1066">
        <f>IF(G50=0,0,G47*G50)</f>
        <v>0</v>
      </c>
      <c r="H51" s="1067">
        <f>IF(H50=0,0,H47*H50)</f>
        <v>0</v>
      </c>
      <c r="J51" s="155"/>
      <c r="K51" s="602"/>
      <c r="L51" s="156"/>
      <c r="M51" s="156"/>
      <c r="N51" s="156"/>
      <c r="O51" s="262"/>
      <c r="P51" s="262"/>
      <c r="Q51" s="262"/>
      <c r="R51" s="262"/>
      <c r="S51" s="262"/>
      <c r="T51" s="262"/>
      <c r="U51" s="262"/>
      <c r="V51" s="304"/>
    </row>
    <row r="52" spans="2:22" ht="12" customHeight="1" x14ac:dyDescent="0.25">
      <c r="B52" s="89"/>
      <c r="C52" s="90"/>
      <c r="D52" s="296" t="s">
        <v>264</v>
      </c>
      <c r="E52" s="297">
        <v>0.24</v>
      </c>
      <c r="F52" s="297">
        <f>E52</f>
        <v>0.24</v>
      </c>
      <c r="G52" s="297">
        <f>F52</f>
        <v>0.24</v>
      </c>
      <c r="H52" s="298">
        <f>G52</f>
        <v>0.24</v>
      </c>
      <c r="I52" s="33"/>
      <c r="J52" s="1989"/>
      <c r="K52" s="1990"/>
      <c r="L52" s="1990"/>
      <c r="M52" s="1990"/>
      <c r="N52" s="156"/>
      <c r="O52" s="262"/>
      <c r="P52" s="262"/>
      <c r="Q52" s="262"/>
      <c r="R52" s="262"/>
      <c r="S52" s="262"/>
      <c r="T52" s="262"/>
      <c r="U52" s="262"/>
      <c r="V52" s="304"/>
    </row>
    <row r="53" spans="2:22" ht="12.75" customHeight="1" x14ac:dyDescent="0.25">
      <c r="B53" s="350">
        <v>0</v>
      </c>
      <c r="C53" s="351" t="s">
        <v>267</v>
      </c>
      <c r="D53" s="351" t="s">
        <v>268</v>
      </c>
      <c r="E53" s="1057">
        <f>E54*E55</f>
        <v>0</v>
      </c>
      <c r="F53" s="1057">
        <f>F54*F55</f>
        <v>0</v>
      </c>
      <c r="G53" s="1057">
        <f>G54*G55</f>
        <v>0</v>
      </c>
      <c r="H53" s="1058">
        <f>H54*H55</f>
        <v>0</v>
      </c>
      <c r="J53" s="600"/>
      <c r="L53" s="1673"/>
      <c r="M53" s="1673"/>
      <c r="N53" s="1673"/>
      <c r="O53" s="262"/>
      <c r="P53" s="262"/>
      <c r="Q53" s="262"/>
      <c r="R53" s="262"/>
      <c r="S53" s="262"/>
      <c r="T53" s="262"/>
      <c r="U53" s="262"/>
      <c r="V53" s="304"/>
    </row>
    <row r="54" spans="2:22" ht="12" customHeight="1" x14ac:dyDescent="0.25">
      <c r="B54" s="495" t="s">
        <v>269</v>
      </c>
      <c r="C54" s="496"/>
      <c r="D54" s="493"/>
      <c r="E54" s="1059">
        <v>0</v>
      </c>
      <c r="F54" s="1060">
        <f t="shared" ref="F54:H55" si="7">E54+E54*L54</f>
        <v>0</v>
      </c>
      <c r="G54" s="1060">
        <f t="shared" si="7"/>
        <v>0</v>
      </c>
      <c r="H54" s="1061">
        <f t="shared" si="7"/>
        <v>0</v>
      </c>
      <c r="J54" s="1984"/>
      <c r="K54" s="1985"/>
      <c r="L54" s="1672">
        <v>0</v>
      </c>
      <c r="M54" s="1672">
        <f>L54</f>
        <v>0</v>
      </c>
      <c r="N54" s="1672">
        <f>M54</f>
        <v>0</v>
      </c>
      <c r="O54" s="601"/>
      <c r="P54" s="262"/>
      <c r="Q54" s="262"/>
      <c r="R54" s="262"/>
      <c r="S54" s="262"/>
      <c r="T54" s="262"/>
      <c r="U54" s="262"/>
      <c r="V54" s="304"/>
    </row>
    <row r="55" spans="2:22" ht="12" customHeight="1" x14ac:dyDescent="0.25">
      <c r="B55" s="495" t="s">
        <v>270</v>
      </c>
      <c r="C55" s="496"/>
      <c r="D55" s="351" t="s">
        <v>268</v>
      </c>
      <c r="E55" s="1062">
        <v>0</v>
      </c>
      <c r="F55" s="1062">
        <f t="shared" si="7"/>
        <v>0</v>
      </c>
      <c r="G55" s="1062">
        <f t="shared" si="7"/>
        <v>0</v>
      </c>
      <c r="H55" s="1063">
        <f t="shared" si="7"/>
        <v>0</v>
      </c>
      <c r="J55" s="1984"/>
      <c r="K55" s="1985"/>
      <c r="L55" s="331">
        <v>0.03</v>
      </c>
      <c r="M55" s="331">
        <f>L55</f>
        <v>0.03</v>
      </c>
      <c r="N55" s="331">
        <f>M55</f>
        <v>0.03</v>
      </c>
      <c r="O55" s="262"/>
      <c r="P55" s="262"/>
      <c r="Q55" s="262"/>
      <c r="R55" s="262"/>
      <c r="S55" s="262"/>
      <c r="T55" s="262"/>
      <c r="U55" s="262"/>
      <c r="V55" s="304"/>
    </row>
    <row r="56" spans="2:22" ht="12" customHeight="1" x14ac:dyDescent="0.25">
      <c r="B56" s="1986" t="s">
        <v>271</v>
      </c>
      <c r="C56" s="1987"/>
      <c r="D56" s="1988"/>
      <c r="E56" s="1064"/>
      <c r="F56" s="1064">
        <f>E56</f>
        <v>0</v>
      </c>
      <c r="G56" s="1064">
        <f>F56</f>
        <v>0</v>
      </c>
      <c r="H56" s="1065">
        <f>G56</f>
        <v>0</v>
      </c>
      <c r="J56" s="155"/>
      <c r="K56" s="602"/>
      <c r="L56" s="156"/>
      <c r="M56" s="156"/>
      <c r="N56" s="156"/>
      <c r="O56" s="262"/>
      <c r="P56" s="262" t="s">
        <v>272</v>
      </c>
      <c r="Q56" s="262"/>
      <c r="R56" s="262"/>
      <c r="S56" s="262"/>
      <c r="T56" s="262"/>
      <c r="U56" s="262"/>
      <c r="V56" s="304"/>
    </row>
    <row r="57" spans="2:22" ht="12" customHeight="1" thickBot="1" x14ac:dyDescent="0.3">
      <c r="B57" s="497" t="s">
        <v>273</v>
      </c>
      <c r="C57" s="499"/>
      <c r="D57" s="501" t="s">
        <v>268</v>
      </c>
      <c r="E57" s="1066">
        <f>IF(E56=0,0,E53*E56)</f>
        <v>0</v>
      </c>
      <c r="F57" s="1066">
        <f>IF(F56=0,0,F53*F56)</f>
        <v>0</v>
      </c>
      <c r="G57" s="1066">
        <f>IF(G56=0,0,G53*G56)</f>
        <v>0</v>
      </c>
      <c r="H57" s="1067">
        <f>IF(H56=0,0,H53*H56)</f>
        <v>0</v>
      </c>
      <c r="J57" s="155"/>
      <c r="K57" s="602"/>
      <c r="L57" s="156"/>
      <c r="M57" s="156"/>
      <c r="N57" s="156"/>
      <c r="O57" s="262"/>
      <c r="P57" s="262"/>
      <c r="Q57" s="262"/>
      <c r="R57" s="262"/>
      <c r="S57" s="262"/>
      <c r="T57" s="262"/>
      <c r="U57" s="262"/>
      <c r="V57" s="304"/>
    </row>
    <row r="58" spans="2:22" ht="12" customHeight="1" x14ac:dyDescent="0.25">
      <c r="B58" s="89"/>
      <c r="C58" s="90"/>
      <c r="D58" s="296" t="s">
        <v>264</v>
      </c>
      <c r="E58" s="297">
        <v>0.24</v>
      </c>
      <c r="F58" s="297">
        <f>E58</f>
        <v>0.24</v>
      </c>
      <c r="G58" s="297">
        <f>F58</f>
        <v>0.24</v>
      </c>
      <c r="H58" s="298">
        <f>G58</f>
        <v>0.24</v>
      </c>
      <c r="I58" s="33"/>
      <c r="J58" s="1989"/>
      <c r="K58" s="1990"/>
      <c r="L58" s="1990"/>
      <c r="M58" s="1990"/>
      <c r="N58" s="156"/>
      <c r="O58" s="262"/>
      <c r="P58" s="262"/>
      <c r="Q58" s="262"/>
      <c r="R58" s="262"/>
      <c r="S58" s="262"/>
      <c r="T58" s="262"/>
      <c r="U58" s="262"/>
      <c r="V58" s="304"/>
    </row>
    <row r="59" spans="2:22" ht="12.75" customHeight="1" x14ac:dyDescent="0.25">
      <c r="B59" s="350">
        <v>0</v>
      </c>
      <c r="C59" s="351" t="s">
        <v>267</v>
      </c>
      <c r="D59" s="351" t="s">
        <v>268</v>
      </c>
      <c r="E59" s="1057">
        <f>E60*E61</f>
        <v>0</v>
      </c>
      <c r="F59" s="1057">
        <f>F60*F61</f>
        <v>0</v>
      </c>
      <c r="G59" s="1057">
        <f>G60*G61</f>
        <v>0</v>
      </c>
      <c r="H59" s="1058">
        <f>H60*H61</f>
        <v>0</v>
      </c>
      <c r="J59" s="600"/>
      <c r="L59" s="1673"/>
      <c r="M59" s="1673"/>
      <c r="N59" s="1673"/>
      <c r="O59" s="262"/>
      <c r="P59" s="262"/>
      <c r="Q59" s="262"/>
      <c r="R59" s="262"/>
      <c r="S59" s="262"/>
      <c r="T59" s="262"/>
      <c r="U59" s="262"/>
      <c r="V59" s="304"/>
    </row>
    <row r="60" spans="2:22" ht="12" customHeight="1" x14ac:dyDescent="0.25">
      <c r="B60" s="495" t="s">
        <v>269</v>
      </c>
      <c r="C60" s="496"/>
      <c r="D60" s="493"/>
      <c r="E60" s="1059">
        <v>0</v>
      </c>
      <c r="F60" s="1060">
        <f t="shared" ref="F60:H61" si="8">E60+E60*L60</f>
        <v>0</v>
      </c>
      <c r="G60" s="1060">
        <f t="shared" si="8"/>
        <v>0</v>
      </c>
      <c r="H60" s="1061">
        <f t="shared" si="8"/>
        <v>0</v>
      </c>
      <c r="J60" s="1984"/>
      <c r="K60" s="1985"/>
      <c r="L60" s="1672">
        <v>0</v>
      </c>
      <c r="M60" s="1672">
        <f>L60</f>
        <v>0</v>
      </c>
      <c r="N60" s="1672">
        <f>M60</f>
        <v>0</v>
      </c>
      <c r="O60" s="601"/>
      <c r="P60" s="262"/>
      <c r="Q60" s="262"/>
      <c r="R60" s="262"/>
      <c r="S60" s="262"/>
      <c r="T60" s="262"/>
      <c r="U60" s="262"/>
      <c r="V60" s="304"/>
    </row>
    <row r="61" spans="2:22" ht="12" customHeight="1" x14ac:dyDescent="0.25">
      <c r="B61" s="495" t="s">
        <v>270</v>
      </c>
      <c r="C61" s="496"/>
      <c r="D61" s="351" t="s">
        <v>268</v>
      </c>
      <c r="E61" s="1062">
        <v>0</v>
      </c>
      <c r="F61" s="1062">
        <f t="shared" si="8"/>
        <v>0</v>
      </c>
      <c r="G61" s="1062">
        <f t="shared" si="8"/>
        <v>0</v>
      </c>
      <c r="H61" s="1063">
        <f t="shared" si="8"/>
        <v>0</v>
      </c>
      <c r="J61" s="1984"/>
      <c r="K61" s="1985"/>
      <c r="L61" s="331">
        <v>0.03</v>
      </c>
      <c r="M61" s="331">
        <f>L61</f>
        <v>0.03</v>
      </c>
      <c r="N61" s="331">
        <f>M61</f>
        <v>0.03</v>
      </c>
      <c r="O61" s="262"/>
      <c r="P61" s="262"/>
      <c r="Q61" s="262"/>
      <c r="R61" s="262"/>
      <c r="S61" s="262"/>
      <c r="T61" s="262"/>
      <c r="U61" s="262"/>
      <c r="V61" s="304"/>
    </row>
    <row r="62" spans="2:22" ht="12" customHeight="1" x14ac:dyDescent="0.25">
      <c r="B62" s="1986" t="s">
        <v>271</v>
      </c>
      <c r="C62" s="1987"/>
      <c r="D62" s="1988"/>
      <c r="E62" s="1064">
        <v>0</v>
      </c>
      <c r="F62" s="1064">
        <f>E62</f>
        <v>0</v>
      </c>
      <c r="G62" s="1064">
        <f>F62</f>
        <v>0</v>
      </c>
      <c r="H62" s="1065">
        <f>G62</f>
        <v>0</v>
      </c>
      <c r="J62" s="155" t="s">
        <v>3</v>
      </c>
      <c r="L62" s="156"/>
      <c r="M62" s="156"/>
      <c r="N62" s="156"/>
      <c r="O62" s="262"/>
      <c r="P62" s="262" t="s">
        <v>272</v>
      </c>
      <c r="Q62" s="262"/>
      <c r="R62" s="262"/>
      <c r="S62" s="262"/>
      <c r="T62" s="262"/>
      <c r="U62" s="262"/>
      <c r="V62" s="304"/>
    </row>
    <row r="63" spans="2:22" ht="12" customHeight="1" thickBot="1" x14ac:dyDescent="0.3">
      <c r="B63" s="497" t="s">
        <v>273</v>
      </c>
      <c r="C63" s="499"/>
      <c r="D63" s="503" t="s">
        <v>268</v>
      </c>
      <c r="E63" s="1066">
        <f>IF(E62=0,0,E59*E62)</f>
        <v>0</v>
      </c>
      <c r="F63" s="1066">
        <f>IF(F62=0,0,F59*F62)</f>
        <v>0</v>
      </c>
      <c r="G63" s="1066">
        <f>IF(G62=0,0,G59*G62)</f>
        <v>0</v>
      </c>
      <c r="H63" s="1067">
        <f>IF(H62=0,0,H59*H62)</f>
        <v>0</v>
      </c>
      <c r="J63" s="332"/>
      <c r="K63" s="262"/>
      <c r="L63" s="262"/>
      <c r="M63" s="262"/>
      <c r="N63" s="262"/>
      <c r="O63" s="262"/>
      <c r="P63" s="262"/>
      <c r="Q63" s="262"/>
      <c r="R63" s="262"/>
      <c r="S63" s="262"/>
      <c r="T63" s="262"/>
      <c r="U63" s="262"/>
      <c r="V63" s="304"/>
    </row>
    <row r="64" spans="2:22" ht="12" customHeight="1" x14ac:dyDescent="0.25">
      <c r="B64" s="1663" t="s">
        <v>274</v>
      </c>
      <c r="C64" s="500"/>
      <c r="D64" s="502" t="s">
        <v>268</v>
      </c>
      <c r="E64" s="1068">
        <f>E11+E17+E23+E29+E35+E41+E47+E53+E59</f>
        <v>0</v>
      </c>
      <c r="F64" s="1068">
        <f>F11+F17+F23+F29+F35+F41+F47+F53+F59</f>
        <v>0</v>
      </c>
      <c r="G64" s="1068">
        <f>G11+G17+G23+G29+G35+G41+G47+G53+G59</f>
        <v>0</v>
      </c>
      <c r="H64" s="1069">
        <f>H11+H17+H23+H29+H35+H41+H47+H53+H59</f>
        <v>0</v>
      </c>
      <c r="J64" s="332"/>
      <c r="K64" s="262"/>
      <c r="L64" s="262"/>
      <c r="M64" s="262"/>
      <c r="N64" s="262"/>
      <c r="O64" s="262"/>
      <c r="P64" s="262"/>
      <c r="Q64" s="262"/>
      <c r="R64" s="262"/>
      <c r="S64" s="262"/>
      <c r="T64" s="262"/>
      <c r="U64" s="262"/>
      <c r="V64" s="304"/>
    </row>
    <row r="65" spans="2:22" ht="12" customHeight="1" x14ac:dyDescent="0.25">
      <c r="B65" s="1664" t="s">
        <v>275</v>
      </c>
      <c r="C65" s="496"/>
      <c r="D65" s="351" t="s">
        <v>268</v>
      </c>
      <c r="E65" s="1070">
        <f>E15+E21+E27+E39+E45+E51+E57+E63+E33</f>
        <v>0</v>
      </c>
      <c r="F65" s="1070">
        <f>F15+F21+F27+F39+F45+F51+F57+F63+F33</f>
        <v>0</v>
      </c>
      <c r="G65" s="1070">
        <f>G15+G21+G27+G39+G45+G51+G57+G63+G33</f>
        <v>0</v>
      </c>
      <c r="H65" s="1071">
        <f>H15+H21+H27+H39+H45+H51+H57+H63+H33</f>
        <v>0</v>
      </c>
      <c r="J65" s="155"/>
      <c r="K65" s="156"/>
      <c r="L65" s="156"/>
      <c r="M65" s="156"/>
      <c r="N65" s="156"/>
      <c r="O65" s="262"/>
      <c r="P65" s="262"/>
      <c r="Q65" s="262"/>
      <c r="R65" s="262"/>
      <c r="S65" s="262"/>
      <c r="T65" s="262"/>
      <c r="U65" s="262"/>
      <c r="V65" s="304"/>
    </row>
    <row r="66" spans="2:22" ht="12" customHeight="1" x14ac:dyDescent="0.25">
      <c r="B66" s="1664" t="s">
        <v>276</v>
      </c>
      <c r="C66" s="496"/>
      <c r="D66" s="494"/>
      <c r="E66" s="1072">
        <f>IF(E65=0,0,E65/E64)</f>
        <v>0</v>
      </c>
      <c r="F66" s="1072">
        <f>IF(F65=0,0,F65/F64)</f>
        <v>0</v>
      </c>
      <c r="G66" s="1072">
        <f>IF(G65=0,0,G65/G64)</f>
        <v>0</v>
      </c>
      <c r="H66" s="1073">
        <f>IF(H65=0,0,H65/H64)</f>
        <v>0</v>
      </c>
      <c r="J66" s="155"/>
      <c r="K66" s="156"/>
      <c r="L66" s="156"/>
      <c r="M66" s="156"/>
      <c r="N66" s="156"/>
      <c r="O66" s="262"/>
      <c r="P66" s="262"/>
      <c r="Q66" s="262"/>
      <c r="R66" s="262"/>
      <c r="S66" s="262"/>
      <c r="T66" s="262"/>
      <c r="U66" s="262"/>
      <c r="V66" s="304"/>
    </row>
    <row r="67" spans="2:22" ht="12" customHeight="1" x14ac:dyDescent="0.25">
      <c r="B67" s="1665" t="s">
        <v>277</v>
      </c>
      <c r="C67" s="496"/>
      <c r="D67" s="351" t="s">
        <v>268</v>
      </c>
      <c r="E67" s="1070">
        <f>E10*(E11)+E16*(E17)+E22*(E23)+E28*(E29)+E34*(E35)+E40*(E41)+E46*(E47)+E52*(E53)+E58*(E59)</f>
        <v>0</v>
      </c>
      <c r="F67" s="1070">
        <f>F10*(F11)+F16*(F17)+F22*(F23)+F28*(F29)+F34*(F35)+F40*(F41)+F46*(F47)+F52*(F53)+F58*(F59)</f>
        <v>0</v>
      </c>
      <c r="G67" s="1070">
        <f>G10*(G11)+G16*(G17)+G22*(G23)+G28*(G29)+G34*(G35)+G40*(G41)+G46*(G47)+G52*(G53)+G58*(G59)</f>
        <v>0</v>
      </c>
      <c r="H67" s="1071">
        <f>H10*(H11)+H16*(H17)+H22*(H23)+H28*(H29)+H34*(H35)+H40*(H41)+H46*(H47)+H52*(H53)+H58*(H59)</f>
        <v>0</v>
      </c>
      <c r="J67" s="155"/>
      <c r="K67" s="156"/>
      <c r="L67" s="156"/>
      <c r="M67" s="156"/>
      <c r="N67" s="156"/>
      <c r="O67" s="262"/>
      <c r="P67" s="262"/>
      <c r="Q67" s="262"/>
      <c r="R67" s="262"/>
      <c r="S67" s="262"/>
      <c r="T67" s="262"/>
      <c r="U67" s="262"/>
      <c r="V67" s="304"/>
    </row>
    <row r="68" spans="2:22" ht="12" customHeight="1" thickBot="1" x14ac:dyDescent="0.3">
      <c r="B68" s="1666" t="s">
        <v>278</v>
      </c>
      <c r="C68" s="499"/>
      <c r="D68" s="503" t="s">
        <v>268</v>
      </c>
      <c r="E68" s="1074">
        <f>E10*(E15)+E16*(E21)+E22*(E27)+E28*(E33)+E34*(E39)+E40*(E45)+E46*(E51)+E52*(E57)+E58*(E63)</f>
        <v>0</v>
      </c>
      <c r="F68" s="1074">
        <f>F10*(F15)+F16*(F21)+F22*(F27)+F28*(F33)+F34*(F39)+F40*(F45)+F46*(F51)+F52*(F57)+F58*(F63)</f>
        <v>0</v>
      </c>
      <c r="G68" s="1074">
        <f>G10*(G15)+G16*(G21)+G22*(G27)+G28*(G33)+G34*(G39)+G40*(G45)+G46*(G51)+G52*(G57)+G58*(G63)</f>
        <v>0</v>
      </c>
      <c r="H68" s="1075">
        <f>H10*(H15)+H16*(H21)+H22*(H27)+H28*(H33)+H34*(H39)+H40*(H45)+H46*(H51)+H52*(H57)+H58*(H63)</f>
        <v>0</v>
      </c>
      <c r="J68" s="326"/>
      <c r="K68" s="327"/>
      <c r="L68" s="327"/>
      <c r="M68" s="327"/>
      <c r="N68" s="327"/>
      <c r="O68" s="305"/>
      <c r="P68" s="305"/>
      <c r="Q68" s="305"/>
      <c r="R68" s="305"/>
      <c r="S68" s="305"/>
      <c r="T68" s="305"/>
      <c r="U68" s="305"/>
      <c r="V68" s="306"/>
    </row>
    <row r="69" spans="2:22" ht="6.75" customHeight="1" x14ac:dyDescent="0.25"/>
    <row r="70" spans="2:22" x14ac:dyDescent="0.25">
      <c r="B70" s="346"/>
      <c r="C70" s="347"/>
      <c r="D70" s="113"/>
      <c r="E70" s="113"/>
      <c r="F70" s="113"/>
      <c r="G70" s="113"/>
      <c r="H70" s="352" t="str">
        <f>OHJE!F6</f>
        <v>Palvelun tarjoavat</v>
      </c>
    </row>
    <row r="71" spans="2:22" x14ac:dyDescent="0.25">
      <c r="B71" s="346" t="str">
        <f>'3. E1 KUSTANNUKSET'!B134</f>
        <v>YT6 Aloittavan yrityksen tulossuunnitelma</v>
      </c>
      <c r="C71" s="347"/>
      <c r="D71" s="113"/>
      <c r="E71" s="113"/>
      <c r="F71" s="113"/>
      <c r="G71" s="113"/>
      <c r="H71" s="407" t="str">
        <f>'3. E1 KUSTANNUKSET'!K134</f>
        <v>Iisalmi, Lapinlahti, Sonkajärvi, Vieremä</v>
      </c>
    </row>
    <row r="72" spans="2:22" x14ac:dyDescent="0.25">
      <c r="B72" s="1902"/>
      <c r="C72" s="1902"/>
    </row>
    <row r="73" spans="2:22" x14ac:dyDescent="0.25">
      <c r="B73" s="345" t="s">
        <v>87</v>
      </c>
    </row>
    <row r="74" spans="2:22" x14ac:dyDescent="0.25">
      <c r="B74" s="40" t="s">
        <v>88</v>
      </c>
    </row>
    <row r="75" spans="2:22" x14ac:dyDescent="0.25">
      <c r="B75" s="40" t="s">
        <v>89</v>
      </c>
    </row>
  </sheetData>
  <sheetProtection algorithmName="SHA-512" hashValue="ZoG5dtzStniXb+Q83TJTI2ZD9YU0ZluQm7chtWQNM1YbBoteeMbo4usXDXY6+0aipuLP4vstusUogJEnlsVI9Q==" saltValue="wLM8T+72oux0edCEv9lRRg==" spinCount="100000" sheet="1" objects="1" scenarios="1"/>
  <mergeCells count="35">
    <mergeCell ref="B26:D26"/>
    <mergeCell ref="J25:K25"/>
    <mergeCell ref="B5:D5"/>
    <mergeCell ref="B7:C8"/>
    <mergeCell ref="J12:K12"/>
    <mergeCell ref="J13:K13"/>
    <mergeCell ref="B14:D14"/>
    <mergeCell ref="J5:L5"/>
    <mergeCell ref="J18:K18"/>
    <mergeCell ref="J19:K19"/>
    <mergeCell ref="B20:D20"/>
    <mergeCell ref="J24:K24"/>
    <mergeCell ref="L10:N10"/>
    <mergeCell ref="J48:K48"/>
    <mergeCell ref="J30:K30"/>
    <mergeCell ref="J31:K31"/>
    <mergeCell ref="B32:D32"/>
    <mergeCell ref="J36:K36"/>
    <mergeCell ref="J37:K37"/>
    <mergeCell ref="B38:D38"/>
    <mergeCell ref="J42:K42"/>
    <mergeCell ref="J43:K43"/>
    <mergeCell ref="B44:D44"/>
    <mergeCell ref="J46:M46"/>
    <mergeCell ref="B72:C72"/>
    <mergeCell ref="J49:K49"/>
    <mergeCell ref="B50:D50"/>
    <mergeCell ref="J52:M52"/>
    <mergeCell ref="B62:D62"/>
    <mergeCell ref="J54:K54"/>
    <mergeCell ref="J55:K55"/>
    <mergeCell ref="B56:D56"/>
    <mergeCell ref="J58:M58"/>
    <mergeCell ref="J60:K60"/>
    <mergeCell ref="J61:K61"/>
  </mergeCells>
  <phoneticPr fontId="5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colBreaks count="1" manualBreakCount="1">
    <brk id="8" min="1" max="74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Y56"/>
  <sheetViews>
    <sheetView zoomScaleNormal="100" workbookViewId="0">
      <selection activeCell="M41" sqref="M41"/>
    </sheetView>
  </sheetViews>
  <sheetFormatPr defaultRowHeight="13.2" x14ac:dyDescent="0.25"/>
  <cols>
    <col min="2" max="2" width="3.88671875" style="207" customWidth="1"/>
    <col min="3" max="3" width="30.6640625" customWidth="1"/>
    <col min="4" max="4" width="11.33203125" bestFit="1" customWidth="1"/>
    <col min="5" max="5" width="10" bestFit="1" customWidth="1"/>
    <col min="9" max="9" width="1.33203125" customWidth="1"/>
    <col min="10" max="10" width="5.5546875" customWidth="1"/>
    <col min="11" max="11" width="36.6640625" customWidth="1"/>
    <col min="12" max="12" width="7.88671875" customWidth="1"/>
  </cols>
  <sheetData>
    <row r="1" spans="2:25" ht="13.8" thickBot="1" x14ac:dyDescent="0.3"/>
    <row r="2" spans="2:25" ht="15.75" customHeight="1" x14ac:dyDescent="0.25">
      <c r="C2" s="1997" t="s">
        <v>279</v>
      </c>
      <c r="D2" s="35" t="s">
        <v>280</v>
      </c>
      <c r="E2" s="37" t="s">
        <v>281</v>
      </c>
      <c r="F2" s="37" t="s">
        <v>282</v>
      </c>
      <c r="G2" s="37" t="s">
        <v>283</v>
      </c>
      <c r="H2" s="146" t="s">
        <v>284</v>
      </c>
      <c r="I2" s="20"/>
      <c r="J2" s="20"/>
      <c r="K2" s="373" t="s">
        <v>285</v>
      </c>
      <c r="L2" s="1761" t="s">
        <v>286</v>
      </c>
      <c r="M2" s="375">
        <f>'8. T5 KASSABUDJETTI'!G16</f>
        <v>45292</v>
      </c>
      <c r="N2" s="375">
        <f>'8. T5 KASSABUDJETTI'!H16</f>
        <v>45323</v>
      </c>
      <c r="O2" s="375">
        <f>'8. T5 KASSABUDJETTI'!I16</f>
        <v>45354</v>
      </c>
      <c r="P2" s="375">
        <f>'8. T5 KASSABUDJETTI'!J16</f>
        <v>45385</v>
      </c>
      <c r="Q2" s="375">
        <f>'8. T5 KASSABUDJETTI'!K16</f>
        <v>45416</v>
      </c>
      <c r="R2" s="375">
        <f>'8. T5 KASSABUDJETTI'!L16</f>
        <v>45447</v>
      </c>
      <c r="S2" s="375">
        <f>'8. T5 KASSABUDJETTI'!M16</f>
        <v>45478</v>
      </c>
      <c r="T2" s="375">
        <f>'8. T5 KASSABUDJETTI'!N16</f>
        <v>45509</v>
      </c>
      <c r="U2" s="375">
        <f>'8. T5 KASSABUDJETTI'!O16</f>
        <v>45540</v>
      </c>
      <c r="V2" s="375">
        <f>'8. T5 KASSABUDJETTI'!P16</f>
        <v>45571</v>
      </c>
      <c r="W2" s="375">
        <f>'8. T5 KASSABUDJETTI'!Q16</f>
        <v>45602</v>
      </c>
      <c r="X2" s="375">
        <f>'8. T5 KASSABUDJETTI'!R16</f>
        <v>45633</v>
      </c>
    </row>
    <row r="3" spans="2:25" x14ac:dyDescent="0.25">
      <c r="C3" s="1998"/>
      <c r="D3" s="147">
        <f>'1. T1 INVESTOINTISUUN.'!D16</f>
        <v>0</v>
      </c>
      <c r="E3" s="147">
        <f>'1. T1 INVESTOINTISUUN.'!E16</f>
        <v>2024</v>
      </c>
      <c r="F3" s="147">
        <f>'1. T1 INVESTOINTISUUN.'!F16</f>
        <v>2025</v>
      </c>
      <c r="G3" s="147">
        <f>'1. T1 INVESTOINTISUUN.'!G16</f>
        <v>2026</v>
      </c>
      <c r="H3" s="147">
        <f>'1. T1 INVESTOINTISUUN.'!H16</f>
        <v>2027</v>
      </c>
      <c r="I3" s="21"/>
      <c r="J3" s="1599">
        <f>'8. T5 KASSABUDJETTI'!B19</f>
        <v>2</v>
      </c>
      <c r="K3" s="1600" t="str">
        <f>'8. T5 KASSABUDJETTI'!C19</f>
        <v xml:space="preserve"> Käteismyynti, myyntisosuus, (ennakkom.)</v>
      </c>
      <c r="L3" s="1606">
        <f>'8. T5 KASSABUDJETTI'!F19</f>
        <v>24</v>
      </c>
      <c r="M3" s="1607">
        <f>'8. T5 KASSABUDJETTI'!G19</f>
        <v>0</v>
      </c>
      <c r="N3" s="1607">
        <f>'8. T5 KASSABUDJETTI'!H19</f>
        <v>0</v>
      </c>
      <c r="O3" s="1607">
        <f>'8. T5 KASSABUDJETTI'!I19</f>
        <v>0</v>
      </c>
      <c r="P3" s="1607">
        <f>'8. T5 KASSABUDJETTI'!J19</f>
        <v>0</v>
      </c>
      <c r="Q3" s="1607">
        <f>'8. T5 KASSABUDJETTI'!K19</f>
        <v>0</v>
      </c>
      <c r="R3" s="1607">
        <f>'8. T5 KASSABUDJETTI'!L19</f>
        <v>0</v>
      </c>
      <c r="S3" s="1607">
        <f>'8. T5 KASSABUDJETTI'!M19</f>
        <v>0</v>
      </c>
      <c r="T3" s="1607">
        <f>'8. T5 KASSABUDJETTI'!N19</f>
        <v>0</v>
      </c>
      <c r="U3" s="1607">
        <f>'8. T5 KASSABUDJETTI'!O19</f>
        <v>0</v>
      </c>
      <c r="V3" s="1607">
        <f>'8. T5 KASSABUDJETTI'!P19</f>
        <v>0</v>
      </c>
      <c r="W3" s="1607">
        <f>'8. T5 KASSABUDJETTI'!Q19</f>
        <v>0</v>
      </c>
      <c r="X3" s="1607">
        <f>'8. T5 KASSABUDJETTI'!R19</f>
        <v>0</v>
      </c>
      <c r="Y3" s="1608">
        <f t="shared" ref="Y3:Y19" si="0">SUM(M3:X3)</f>
        <v>0</v>
      </c>
    </row>
    <row r="4" spans="2:25" x14ac:dyDescent="0.25">
      <c r="B4" s="1597" t="str">
        <f>'1. T1 INVESTOINTISUUN.'!B17</f>
        <v>1.</v>
      </c>
      <c r="C4" s="75" t="str">
        <f>'1. T1 INVESTOINTISUUN.'!C17</f>
        <v xml:space="preserve"> Maa-alueet ja vesialueet, liittymät yms.</v>
      </c>
      <c r="D4" s="75"/>
      <c r="E4" s="75">
        <f>'1. T1 INVESTOINTISUUN.'!E17</f>
        <v>0</v>
      </c>
      <c r="F4" s="75">
        <f>'1. T1 INVESTOINTISUUN.'!F17</f>
        <v>0</v>
      </c>
      <c r="G4" s="75">
        <f>'1. T1 INVESTOINTISUUN.'!G17</f>
        <v>0</v>
      </c>
      <c r="H4" s="75">
        <f>'1. T1 INVESTOINTISUUN.'!H17</f>
        <v>0</v>
      </c>
      <c r="I4" s="21"/>
      <c r="J4" s="1601"/>
      <c r="K4" s="1845" t="s">
        <v>287</v>
      </c>
      <c r="L4" s="1602"/>
      <c r="M4" s="74">
        <f t="shared" ref="M4:X4" si="1">M3-M3/(1+$L3%)</f>
        <v>0</v>
      </c>
      <c r="N4" s="74">
        <f t="shared" si="1"/>
        <v>0</v>
      </c>
      <c r="O4" s="74">
        <f t="shared" si="1"/>
        <v>0</v>
      </c>
      <c r="P4" s="74">
        <f t="shared" si="1"/>
        <v>0</v>
      </c>
      <c r="Q4" s="74">
        <f t="shared" si="1"/>
        <v>0</v>
      </c>
      <c r="R4" s="74">
        <f t="shared" si="1"/>
        <v>0</v>
      </c>
      <c r="S4" s="74">
        <f t="shared" si="1"/>
        <v>0</v>
      </c>
      <c r="T4" s="74">
        <f t="shared" si="1"/>
        <v>0</v>
      </c>
      <c r="U4" s="74">
        <f t="shared" si="1"/>
        <v>0</v>
      </c>
      <c r="V4" s="74">
        <f t="shared" si="1"/>
        <v>0</v>
      </c>
      <c r="W4" s="74">
        <f t="shared" si="1"/>
        <v>0</v>
      </c>
      <c r="X4" s="74">
        <f t="shared" si="1"/>
        <v>0</v>
      </c>
      <c r="Y4" s="1603">
        <f t="shared" si="0"/>
        <v>0</v>
      </c>
    </row>
    <row r="5" spans="2:25" x14ac:dyDescent="0.25">
      <c r="B5" s="1837" t="s">
        <v>3</v>
      </c>
      <c r="C5" s="75" t="str">
        <f>'1. T1 INVESTOINTISUUN.'!C19</f>
        <v xml:space="preserve"> - avustus-%</v>
      </c>
      <c r="D5" s="151"/>
      <c r="E5" s="151">
        <f>'1. T1 INVESTOINTISUUN.'!E19</f>
        <v>0</v>
      </c>
      <c r="F5" s="151">
        <f>'1. T1 INVESTOINTISUUN.'!F19</f>
        <v>0</v>
      </c>
      <c r="G5" s="151">
        <f>'1. T1 INVESTOINTISUUN.'!G19</f>
        <v>0</v>
      </c>
      <c r="H5" s="151">
        <f>'1. T1 INVESTOINTISUUN.'!H19</f>
        <v>0</v>
      </c>
      <c r="I5" s="21"/>
      <c r="J5" s="1599">
        <f>'8. T5 KASSABUDJETTI'!B21</f>
        <v>3</v>
      </c>
      <c r="K5" s="1600" t="str">
        <f>'8. T5 KASSABUDJETTI'!C21</f>
        <v xml:space="preserve"> Laskutusmyynti</v>
      </c>
      <c r="L5" s="1606">
        <f>'8. T5 KASSABUDJETTI'!F21</f>
        <v>24</v>
      </c>
      <c r="M5" s="1607">
        <f>'8. T5 KASSABUDJETTI'!G21</f>
        <v>0</v>
      </c>
      <c r="N5" s="1607">
        <f>'8. T5 KASSABUDJETTI'!H21</f>
        <v>0</v>
      </c>
      <c r="O5" s="1607">
        <f>'8. T5 KASSABUDJETTI'!I21</f>
        <v>0</v>
      </c>
      <c r="P5" s="1607">
        <f>'8. T5 KASSABUDJETTI'!J21</f>
        <v>0</v>
      </c>
      <c r="Q5" s="1607">
        <f>'8. T5 KASSABUDJETTI'!K21</f>
        <v>0</v>
      </c>
      <c r="R5" s="1607">
        <f>'8. T5 KASSABUDJETTI'!L21</f>
        <v>0</v>
      </c>
      <c r="S5" s="1607">
        <f>'8. T5 KASSABUDJETTI'!M21</f>
        <v>0</v>
      </c>
      <c r="T5" s="1607">
        <f>'8. T5 KASSABUDJETTI'!N21</f>
        <v>0</v>
      </c>
      <c r="U5" s="1607">
        <f>'8. T5 KASSABUDJETTI'!O21</f>
        <v>0</v>
      </c>
      <c r="V5" s="1607">
        <f>'8. T5 KASSABUDJETTI'!P21</f>
        <v>0</v>
      </c>
      <c r="W5" s="1607">
        <f>'8. T5 KASSABUDJETTI'!Q21</f>
        <v>0</v>
      </c>
      <c r="X5" s="1607">
        <f>'8. T5 KASSABUDJETTI'!R21</f>
        <v>0</v>
      </c>
      <c r="Y5" s="1608">
        <f t="shared" si="0"/>
        <v>0</v>
      </c>
    </row>
    <row r="6" spans="2:25" x14ac:dyDescent="0.25">
      <c r="C6" s="148" t="s">
        <v>288</v>
      </c>
      <c r="D6" s="75"/>
      <c r="E6" s="75">
        <f>E4*E5</f>
        <v>0</v>
      </c>
      <c r="F6" s="75">
        <f>F4*F5</f>
        <v>0</v>
      </c>
      <c r="G6" s="75">
        <f>G4*G5</f>
        <v>0</v>
      </c>
      <c r="H6" s="75">
        <f>H4*H5</f>
        <v>0</v>
      </c>
      <c r="I6" s="21"/>
      <c r="J6" s="1601"/>
      <c r="K6" s="1845" t="s">
        <v>287</v>
      </c>
      <c r="L6" s="1602"/>
      <c r="M6" s="74">
        <f>M5-M5/(1+$L5%)</f>
        <v>0</v>
      </c>
      <c r="N6" s="74">
        <f t="shared" ref="N6:X6" si="2">N5-N5/(1+$L5%)</f>
        <v>0</v>
      </c>
      <c r="O6" s="74">
        <f t="shared" si="2"/>
        <v>0</v>
      </c>
      <c r="P6" s="74">
        <f t="shared" si="2"/>
        <v>0</v>
      </c>
      <c r="Q6" s="74">
        <f t="shared" si="2"/>
        <v>0</v>
      </c>
      <c r="R6" s="74">
        <f t="shared" si="2"/>
        <v>0</v>
      </c>
      <c r="S6" s="74">
        <f t="shared" si="2"/>
        <v>0</v>
      </c>
      <c r="T6" s="74">
        <f t="shared" si="2"/>
        <v>0</v>
      </c>
      <c r="U6" s="74">
        <f t="shared" si="2"/>
        <v>0</v>
      </c>
      <c r="V6" s="74">
        <f t="shared" si="2"/>
        <v>0</v>
      </c>
      <c r="W6" s="74">
        <f t="shared" si="2"/>
        <v>0</v>
      </c>
      <c r="X6" s="74">
        <f t="shared" si="2"/>
        <v>0</v>
      </c>
      <c r="Y6" s="1603">
        <f t="shared" si="0"/>
        <v>0</v>
      </c>
    </row>
    <row r="7" spans="2:25" x14ac:dyDescent="0.25">
      <c r="C7" s="148" t="s">
        <v>289</v>
      </c>
      <c r="D7" s="75"/>
      <c r="E7" s="75">
        <f>E4-E6</f>
        <v>0</v>
      </c>
      <c r="F7" s="75">
        <f>F4-F6</f>
        <v>0</v>
      </c>
      <c r="G7" s="75">
        <f>G4-G6</f>
        <v>0</v>
      </c>
      <c r="H7" s="75">
        <f>H4-H6</f>
        <v>0</v>
      </c>
      <c r="I7" s="21"/>
      <c r="J7" s="1599">
        <f>'8. T5 KASSABUDJETTI'!B24</f>
        <v>4</v>
      </c>
      <c r="K7" s="1609" t="str">
        <f>'8. T5 KASSABUDJETTI'!C24</f>
        <v xml:space="preserve"> Omaisuuden myyntitulot, satunnaiset tuotot</v>
      </c>
      <c r="L7" s="1606">
        <f>'8. T5 KASSABUDJETTI'!F24</f>
        <v>24</v>
      </c>
      <c r="M7" s="1607">
        <f>'8. T5 KASSABUDJETTI'!G24</f>
        <v>0</v>
      </c>
      <c r="N7" s="1607">
        <f>'8. T5 KASSABUDJETTI'!H24</f>
        <v>0</v>
      </c>
      <c r="O7" s="1607">
        <f>'8. T5 KASSABUDJETTI'!I24</f>
        <v>0</v>
      </c>
      <c r="P7" s="1607">
        <f>'8. T5 KASSABUDJETTI'!J24</f>
        <v>0</v>
      </c>
      <c r="Q7" s="1607">
        <f>'8. T5 KASSABUDJETTI'!K24</f>
        <v>0</v>
      </c>
      <c r="R7" s="1607">
        <f>'8. T5 KASSABUDJETTI'!L24</f>
        <v>0</v>
      </c>
      <c r="S7" s="1607">
        <f>'8. T5 KASSABUDJETTI'!M24</f>
        <v>0</v>
      </c>
      <c r="T7" s="1607">
        <f>'8. T5 KASSABUDJETTI'!N24</f>
        <v>0</v>
      </c>
      <c r="U7" s="1607">
        <f>'8. T5 KASSABUDJETTI'!O24</f>
        <v>0</v>
      </c>
      <c r="V7" s="1607">
        <f>'8. T5 KASSABUDJETTI'!P24</f>
        <v>0</v>
      </c>
      <c r="W7" s="1607">
        <f>'8. T5 KASSABUDJETTI'!Q24</f>
        <v>0</v>
      </c>
      <c r="X7" s="1607">
        <f>'8. T5 KASSABUDJETTI'!R24</f>
        <v>0</v>
      </c>
      <c r="Y7" s="1608">
        <f t="shared" si="0"/>
        <v>0</v>
      </c>
    </row>
    <row r="8" spans="2:25" x14ac:dyDescent="0.25">
      <c r="B8" s="1598" t="str">
        <f>'1. T1 INVESTOINTISUUN.'!B20</f>
        <v>2.</v>
      </c>
      <c r="C8" s="148" t="str">
        <f>'1. T1 INVESTOINTISUUN.'!C20</f>
        <v xml:space="preserve"> Uudisrakennukset ja rakennelmat sis. alv </v>
      </c>
      <c r="D8" s="148"/>
      <c r="E8" s="148">
        <f>'1. T1 INVESTOINTISUUN.'!E20</f>
        <v>0</v>
      </c>
      <c r="F8" s="148">
        <f>'1. T1 INVESTOINTISUUN.'!F20</f>
        <v>0</v>
      </c>
      <c r="G8" s="148">
        <f>'1. T1 INVESTOINTISUUN.'!G20</f>
        <v>0</v>
      </c>
      <c r="H8" s="148">
        <f>'1. T1 INVESTOINTISUUN.'!H20</f>
        <v>0</v>
      </c>
      <c r="I8" s="31"/>
      <c r="J8" s="1604"/>
      <c r="K8" s="1845" t="s">
        <v>287</v>
      </c>
      <c r="L8" s="1602"/>
      <c r="M8" s="74">
        <f>M7-M7/(1+$L7%)</f>
        <v>0</v>
      </c>
      <c r="N8" s="74">
        <f t="shared" ref="N8:X8" si="3">N7-N7/(1+$L7%)</f>
        <v>0</v>
      </c>
      <c r="O8" s="74">
        <f t="shared" si="3"/>
        <v>0</v>
      </c>
      <c r="P8" s="74">
        <f t="shared" si="3"/>
        <v>0</v>
      </c>
      <c r="Q8" s="74">
        <f t="shared" si="3"/>
        <v>0</v>
      </c>
      <c r="R8" s="74">
        <f t="shared" si="3"/>
        <v>0</v>
      </c>
      <c r="S8" s="74">
        <f>S7-S7/(1+$L7%)</f>
        <v>0</v>
      </c>
      <c r="T8" s="74">
        <f t="shared" si="3"/>
        <v>0</v>
      </c>
      <c r="U8" s="74">
        <f t="shared" si="3"/>
        <v>0</v>
      </c>
      <c r="V8" s="74">
        <f t="shared" si="3"/>
        <v>0</v>
      </c>
      <c r="W8" s="74">
        <f t="shared" si="3"/>
        <v>0</v>
      </c>
      <c r="X8" s="74">
        <f t="shared" si="3"/>
        <v>0</v>
      </c>
      <c r="Y8" s="1603">
        <f t="shared" si="0"/>
        <v>0</v>
      </c>
    </row>
    <row r="9" spans="2:25" x14ac:dyDescent="0.25">
      <c r="B9" s="137"/>
      <c r="C9" s="148" t="str">
        <f>'1. T1 INVESTOINTISUUN.'!C22</f>
        <v xml:space="preserve"> - arvonlisävero-%</v>
      </c>
      <c r="D9" s="149"/>
      <c r="E9" s="149">
        <f>'1. T1 INVESTOINTISUUN.'!E22</f>
        <v>0.24</v>
      </c>
      <c r="F9" s="149">
        <f>'1. T1 INVESTOINTISUUN.'!F22</f>
        <v>0.24</v>
      </c>
      <c r="G9" s="149">
        <f>'1. T1 INVESTOINTISUUN.'!G22</f>
        <v>0.24</v>
      </c>
      <c r="H9" s="149">
        <f>'1. T1 INVESTOINTISUUN.'!H22</f>
        <v>0.24</v>
      </c>
      <c r="I9" s="31"/>
      <c r="J9" s="31"/>
      <c r="K9" s="374" t="s">
        <v>290</v>
      </c>
      <c r="L9" s="376"/>
      <c r="M9" s="374">
        <f t="shared" ref="M9:X9" si="4">M4+M6+M8</f>
        <v>0</v>
      </c>
      <c r="N9" s="374">
        <f t="shared" si="4"/>
        <v>0</v>
      </c>
      <c r="O9" s="374">
        <f t="shared" si="4"/>
        <v>0</v>
      </c>
      <c r="P9" s="374">
        <f t="shared" si="4"/>
        <v>0</v>
      </c>
      <c r="Q9" s="374">
        <f t="shared" si="4"/>
        <v>0</v>
      </c>
      <c r="R9" s="374">
        <f t="shared" si="4"/>
        <v>0</v>
      </c>
      <c r="S9" s="374">
        <f t="shared" si="4"/>
        <v>0</v>
      </c>
      <c r="T9" s="374">
        <f t="shared" si="4"/>
        <v>0</v>
      </c>
      <c r="U9" s="374">
        <f t="shared" si="4"/>
        <v>0</v>
      </c>
      <c r="V9" s="374">
        <f t="shared" si="4"/>
        <v>0</v>
      </c>
      <c r="W9" s="374">
        <f t="shared" si="4"/>
        <v>0</v>
      </c>
      <c r="X9" s="374">
        <f t="shared" si="4"/>
        <v>0</v>
      </c>
      <c r="Y9">
        <f t="shared" si="0"/>
        <v>0</v>
      </c>
    </row>
    <row r="10" spans="2:25" x14ac:dyDescent="0.25">
      <c r="B10" s="137"/>
      <c r="C10" s="148" t="s">
        <v>291</v>
      </c>
      <c r="D10" s="150"/>
      <c r="E10" s="150">
        <f>E8/(1+E9)</f>
        <v>0</v>
      </c>
      <c r="F10" s="150">
        <f>F8/(1+F9)</f>
        <v>0</v>
      </c>
      <c r="G10" s="150">
        <f>G8/(1+G9)</f>
        <v>0</v>
      </c>
      <c r="H10" s="150">
        <f>H8/(1+H9)</f>
        <v>0</v>
      </c>
      <c r="I10" s="31"/>
      <c r="J10" s="1605">
        <f>'8. T5 KASSABUDJETTI'!B29</f>
        <v>6</v>
      </c>
      <c r="K10" s="244" t="str">
        <f>'8. T5 KASSABUDJETTI'!C29</f>
        <v xml:space="preserve"> Aineet ja tarvikkeet</v>
      </c>
      <c r="L10" s="1606">
        <f>'8. T5 KASSABUDJETTI'!F29</f>
        <v>24</v>
      </c>
      <c r="M10" s="1607">
        <f>'8. T5 KASSABUDJETTI'!G29</f>
        <v>0</v>
      </c>
      <c r="N10" s="1607">
        <f>'8. T5 KASSABUDJETTI'!H29</f>
        <v>0</v>
      </c>
      <c r="O10" s="1607">
        <f>'8. T5 KASSABUDJETTI'!I29</f>
        <v>0</v>
      </c>
      <c r="P10" s="1607">
        <f>'8. T5 KASSABUDJETTI'!J29</f>
        <v>0</v>
      </c>
      <c r="Q10" s="1607">
        <f>'8. T5 KASSABUDJETTI'!K29</f>
        <v>0</v>
      </c>
      <c r="R10" s="1607">
        <f>'8. T5 KASSABUDJETTI'!L29</f>
        <v>0</v>
      </c>
      <c r="S10" s="1607">
        <f>'8. T5 KASSABUDJETTI'!M29</f>
        <v>0</v>
      </c>
      <c r="T10" s="1607">
        <f>'8. T5 KASSABUDJETTI'!N29</f>
        <v>0</v>
      </c>
      <c r="U10" s="1607">
        <f>'8. T5 KASSABUDJETTI'!O29</f>
        <v>0</v>
      </c>
      <c r="V10" s="1607">
        <f>'8. T5 KASSABUDJETTI'!P29</f>
        <v>0</v>
      </c>
      <c r="W10" s="1607">
        <f>'8. T5 KASSABUDJETTI'!Q29</f>
        <v>0</v>
      </c>
      <c r="X10" s="1607">
        <f>'8. T5 KASSABUDJETTI'!R29</f>
        <v>0</v>
      </c>
      <c r="Y10" s="1608">
        <f t="shared" si="0"/>
        <v>0</v>
      </c>
    </row>
    <row r="11" spans="2:25" x14ac:dyDescent="0.25">
      <c r="B11" s="137" t="s">
        <v>3</v>
      </c>
      <c r="C11" s="148" t="s">
        <v>292</v>
      </c>
      <c r="D11" s="150"/>
      <c r="E11" s="150">
        <f>E8-E10</f>
        <v>0</v>
      </c>
      <c r="F11" s="150">
        <f>F8-F10</f>
        <v>0</v>
      </c>
      <c r="G11" s="150">
        <f>G8-G10</f>
        <v>0</v>
      </c>
      <c r="H11" s="150">
        <f>H8-H10</f>
        <v>0</v>
      </c>
      <c r="I11" s="31"/>
      <c r="J11" s="1601"/>
      <c r="K11" s="1845" t="s">
        <v>287</v>
      </c>
      <c r="L11" s="1602"/>
      <c r="M11" s="74">
        <f>M10-M10/(1+$L10%)</f>
        <v>0</v>
      </c>
      <c r="N11" s="74">
        <f t="shared" ref="N11:X11" si="5">N10-N10/(1+$L10%)</f>
        <v>0</v>
      </c>
      <c r="O11" s="74">
        <f t="shared" si="5"/>
        <v>0</v>
      </c>
      <c r="P11" s="74">
        <f t="shared" si="5"/>
        <v>0</v>
      </c>
      <c r="Q11" s="74">
        <f t="shared" si="5"/>
        <v>0</v>
      </c>
      <c r="R11" s="74">
        <f t="shared" si="5"/>
        <v>0</v>
      </c>
      <c r="S11" s="74">
        <f t="shared" si="5"/>
        <v>0</v>
      </c>
      <c r="T11" s="74">
        <f t="shared" si="5"/>
        <v>0</v>
      </c>
      <c r="U11" s="74">
        <f t="shared" si="5"/>
        <v>0</v>
      </c>
      <c r="V11" s="74">
        <f t="shared" si="5"/>
        <v>0</v>
      </c>
      <c r="W11" s="74">
        <f t="shared" si="5"/>
        <v>0</v>
      </c>
      <c r="X11" s="74">
        <f t="shared" si="5"/>
        <v>0</v>
      </c>
      <c r="Y11" s="1603">
        <f t="shared" si="0"/>
        <v>0</v>
      </c>
    </row>
    <row r="12" spans="2:25" x14ac:dyDescent="0.25">
      <c r="B12" s="137"/>
      <c r="C12" s="148" t="str">
        <f>'1. T1 INVESTOINTISUUN.'!C23</f>
        <v xml:space="preserve"> - avustus-%</v>
      </c>
      <c r="D12" s="149"/>
      <c r="E12" s="149">
        <f>'1. T1 INVESTOINTISUUN.'!E23</f>
        <v>0</v>
      </c>
      <c r="F12" s="149">
        <f>'1. T1 INVESTOINTISUUN.'!F23</f>
        <v>0</v>
      </c>
      <c r="G12" s="149">
        <f>'1. T1 INVESTOINTISUUN.'!G23</f>
        <v>0</v>
      </c>
      <c r="H12" s="149">
        <f>'1. T1 INVESTOINTISUUN.'!H23</f>
        <v>0</v>
      </c>
      <c r="I12" s="31"/>
      <c r="J12" s="1605">
        <f>'8. T5 KASSABUDJETTI'!B30</f>
        <v>7</v>
      </c>
      <c r="K12" s="244" t="str">
        <f>'8. T5 KASSABUDJETTI'!C30</f>
        <v xml:space="preserve"> Käteisostot, liiketoimintakaupan tavaravarasto</v>
      </c>
      <c r="L12" s="1606">
        <f>'8. T5 KASSABUDJETTI'!F30</f>
        <v>0</v>
      </c>
      <c r="M12" s="1607">
        <f>'8. T5 KASSABUDJETTI'!G30</f>
        <v>0</v>
      </c>
      <c r="N12" s="1607">
        <f>'8. T5 KASSABUDJETTI'!H30</f>
        <v>0</v>
      </c>
      <c r="O12" s="1607">
        <f>'8. T5 KASSABUDJETTI'!I30</f>
        <v>0</v>
      </c>
      <c r="P12" s="1607">
        <f>'8. T5 KASSABUDJETTI'!J30</f>
        <v>0</v>
      </c>
      <c r="Q12" s="1607">
        <f>'8. T5 KASSABUDJETTI'!K30</f>
        <v>0</v>
      </c>
      <c r="R12" s="1607">
        <f>'8. T5 KASSABUDJETTI'!L30</f>
        <v>0</v>
      </c>
      <c r="S12" s="1607">
        <f>'8. T5 KASSABUDJETTI'!M30</f>
        <v>0</v>
      </c>
      <c r="T12" s="1607">
        <f>'8. T5 KASSABUDJETTI'!N30</f>
        <v>0</v>
      </c>
      <c r="U12" s="1607">
        <f>'8. T5 KASSABUDJETTI'!O30</f>
        <v>0</v>
      </c>
      <c r="V12" s="1607">
        <f>'8. T5 KASSABUDJETTI'!P30</f>
        <v>0</v>
      </c>
      <c r="W12" s="1607">
        <f>'8. T5 KASSABUDJETTI'!Q30</f>
        <v>0</v>
      </c>
      <c r="X12" s="1607">
        <f>'8. T5 KASSABUDJETTI'!R30</f>
        <v>0</v>
      </c>
      <c r="Y12" s="1608">
        <f t="shared" si="0"/>
        <v>0</v>
      </c>
    </row>
    <row r="13" spans="2:25" x14ac:dyDescent="0.25">
      <c r="B13" s="137"/>
      <c r="C13" s="148" t="s">
        <v>288</v>
      </c>
      <c r="D13" s="150"/>
      <c r="E13" s="150">
        <f>E10*E12</f>
        <v>0</v>
      </c>
      <c r="F13" s="150">
        <f>F10*F12</f>
        <v>0</v>
      </c>
      <c r="G13" s="150">
        <f>G10*G12</f>
        <v>0</v>
      </c>
      <c r="H13" s="150">
        <f>H10*H12</f>
        <v>0</v>
      </c>
      <c r="I13" s="31"/>
      <c r="J13" s="1601"/>
      <c r="K13" s="1845" t="s">
        <v>287</v>
      </c>
      <c r="L13" s="1602"/>
      <c r="M13" s="74">
        <f>M12-M12/(1+$L12%)</f>
        <v>0</v>
      </c>
      <c r="N13" s="74">
        <f t="shared" ref="N13:X13" si="6">N12-N12/(1+$L12%)</f>
        <v>0</v>
      </c>
      <c r="O13" s="74">
        <f t="shared" si="6"/>
        <v>0</v>
      </c>
      <c r="P13" s="74">
        <f t="shared" si="6"/>
        <v>0</v>
      </c>
      <c r="Q13" s="74">
        <f t="shared" si="6"/>
        <v>0</v>
      </c>
      <c r="R13" s="74">
        <f t="shared" si="6"/>
        <v>0</v>
      </c>
      <c r="S13" s="74">
        <f t="shared" si="6"/>
        <v>0</v>
      </c>
      <c r="T13" s="74">
        <f t="shared" si="6"/>
        <v>0</v>
      </c>
      <c r="U13" s="74">
        <f t="shared" si="6"/>
        <v>0</v>
      </c>
      <c r="V13" s="74">
        <f t="shared" si="6"/>
        <v>0</v>
      </c>
      <c r="W13" s="74">
        <f t="shared" si="6"/>
        <v>0</v>
      </c>
      <c r="X13" s="74">
        <f t="shared" si="6"/>
        <v>0</v>
      </c>
      <c r="Y13" s="1603">
        <f t="shared" si="0"/>
        <v>0</v>
      </c>
    </row>
    <row r="14" spans="2:25" x14ac:dyDescent="0.25">
      <c r="C14" s="148" t="s">
        <v>289</v>
      </c>
      <c r="D14" s="171"/>
      <c r="E14" s="171">
        <f>E10-E13</f>
        <v>0</v>
      </c>
      <c r="F14" s="171">
        <f>F10-F13</f>
        <v>0</v>
      </c>
      <c r="G14" s="171">
        <f>G10-G13</f>
        <v>0</v>
      </c>
      <c r="H14" s="171">
        <f>H10-H13</f>
        <v>0</v>
      </c>
      <c r="I14" s="21"/>
      <c r="J14" s="1605">
        <f>'8. T5 KASSABUDJETTI'!B31</f>
        <v>8</v>
      </c>
      <c r="K14" s="244" t="str">
        <f>'8. T5 KASSABUDJETTI'!C31</f>
        <v xml:space="preserve"> Ulkopuoliset palvelut</v>
      </c>
      <c r="L14" s="1606">
        <f>'8. T5 KASSABUDJETTI'!F31</f>
        <v>24</v>
      </c>
      <c r="M14" s="1607">
        <f>'8. T5 KASSABUDJETTI'!G31</f>
        <v>0</v>
      </c>
      <c r="N14" s="1607">
        <f>'8. T5 KASSABUDJETTI'!H31</f>
        <v>0</v>
      </c>
      <c r="O14" s="1607">
        <f>'8. T5 KASSABUDJETTI'!I31</f>
        <v>0</v>
      </c>
      <c r="P14" s="1607">
        <f>'8. T5 KASSABUDJETTI'!J31</f>
        <v>0</v>
      </c>
      <c r="Q14" s="1607">
        <f>'8. T5 KASSABUDJETTI'!K31</f>
        <v>0</v>
      </c>
      <c r="R14" s="1607">
        <f>'8. T5 KASSABUDJETTI'!L31</f>
        <v>0</v>
      </c>
      <c r="S14" s="1607">
        <f>'8. T5 KASSABUDJETTI'!M31</f>
        <v>0</v>
      </c>
      <c r="T14" s="1607">
        <f>'8. T5 KASSABUDJETTI'!N31</f>
        <v>0</v>
      </c>
      <c r="U14" s="1607">
        <f>'8. T5 KASSABUDJETTI'!O31</f>
        <v>0</v>
      </c>
      <c r="V14" s="1607">
        <f>'8. T5 KASSABUDJETTI'!P31</f>
        <v>0</v>
      </c>
      <c r="W14" s="1607">
        <f>'8. T5 KASSABUDJETTI'!Q31</f>
        <v>0</v>
      </c>
      <c r="X14" s="1607">
        <f>'8. T5 KASSABUDJETTI'!R31</f>
        <v>0</v>
      </c>
      <c r="Y14" s="1608">
        <f t="shared" si="0"/>
        <v>0</v>
      </c>
    </row>
    <row r="15" spans="2:25" x14ac:dyDescent="0.25">
      <c r="B15" s="1598" t="str">
        <f>'1. T1 INVESTOINTISUUN.'!B24</f>
        <v>3.</v>
      </c>
      <c r="C15" s="148" t="str">
        <f>'1. T1 INVESTOINTISUUN.'!C24</f>
        <v xml:space="preserve"> Kiinteistöt ja rakennukset</v>
      </c>
      <c r="D15" s="148"/>
      <c r="E15" s="148">
        <f>'1. T1 INVESTOINTISUUN.'!E24</f>
        <v>0</v>
      </c>
      <c r="F15" s="148">
        <f>'1. T1 INVESTOINTISUUN.'!F24</f>
        <v>0</v>
      </c>
      <c r="G15" s="148">
        <f>'1. T1 INVESTOINTISUUN.'!G24</f>
        <v>0</v>
      </c>
      <c r="H15" s="148">
        <f>'1. T1 INVESTOINTISUUN.'!H24</f>
        <v>0</v>
      </c>
      <c r="I15" s="31"/>
      <c r="J15" s="1601"/>
      <c r="K15" s="1845" t="s">
        <v>287</v>
      </c>
      <c r="L15" s="1602"/>
      <c r="M15" s="74">
        <f>M14-M14/(1+$L14%)</f>
        <v>0</v>
      </c>
      <c r="N15" s="74">
        <f t="shared" ref="N15:X15" si="7">N14-N14/(1+$L14%)</f>
        <v>0</v>
      </c>
      <c r="O15" s="74">
        <f t="shared" si="7"/>
        <v>0</v>
      </c>
      <c r="P15" s="74">
        <f t="shared" si="7"/>
        <v>0</v>
      </c>
      <c r="Q15" s="74">
        <f t="shared" si="7"/>
        <v>0</v>
      </c>
      <c r="R15" s="74">
        <f t="shared" si="7"/>
        <v>0</v>
      </c>
      <c r="S15" s="74">
        <f t="shared" si="7"/>
        <v>0</v>
      </c>
      <c r="T15" s="74">
        <f t="shared" si="7"/>
        <v>0</v>
      </c>
      <c r="U15" s="74">
        <f t="shared" si="7"/>
        <v>0</v>
      </c>
      <c r="V15" s="74">
        <f t="shared" si="7"/>
        <v>0</v>
      </c>
      <c r="W15" s="74">
        <f t="shared" si="7"/>
        <v>0</v>
      </c>
      <c r="X15" s="74">
        <f t="shared" si="7"/>
        <v>0</v>
      </c>
      <c r="Y15" s="1603">
        <f t="shared" si="0"/>
        <v>0</v>
      </c>
    </row>
    <row r="16" spans="2:25" x14ac:dyDescent="0.25">
      <c r="B16" s="137"/>
      <c r="C16" s="148" t="str">
        <f>'1. T1 INVESTOINTISUUN.'!C26</f>
        <v xml:space="preserve"> - avustus-%</v>
      </c>
      <c r="D16" s="149"/>
      <c r="E16" s="149">
        <f>'1. T1 INVESTOINTISUUN.'!E26</f>
        <v>0</v>
      </c>
      <c r="F16" s="149">
        <f>'1. T1 INVESTOINTISUUN.'!F26</f>
        <v>0</v>
      </c>
      <c r="G16" s="149">
        <f>'1. T1 INVESTOINTISUUN.'!G26</f>
        <v>0</v>
      </c>
      <c r="H16" s="149">
        <f>'1. T1 INVESTOINTISUUN.'!H26</f>
        <v>0</v>
      </c>
      <c r="I16" s="31"/>
      <c r="J16" s="1605">
        <f>'8. T5 KASSABUDJETTI'!B32</f>
        <v>9</v>
      </c>
      <c r="K16" s="244" t="str">
        <f>'8. T5 KASSABUDJETTI'!C32</f>
        <v xml:space="preserve"> Investoinnit sis. alv</v>
      </c>
      <c r="L16" s="1606">
        <f>'8. T5 KASSABUDJETTI'!F32</f>
        <v>24</v>
      </c>
      <c r="M16" s="1607">
        <f>'8. T5 KASSABUDJETTI'!G32</f>
        <v>0</v>
      </c>
      <c r="N16" s="1607">
        <f>'8. T5 KASSABUDJETTI'!H32</f>
        <v>0</v>
      </c>
      <c r="O16" s="1607">
        <f>'8. T5 KASSABUDJETTI'!I32</f>
        <v>0</v>
      </c>
      <c r="P16" s="1607">
        <f>'8. T5 KASSABUDJETTI'!J32</f>
        <v>0</v>
      </c>
      <c r="Q16" s="1607">
        <f>'8. T5 KASSABUDJETTI'!K32</f>
        <v>0</v>
      </c>
      <c r="R16" s="1607">
        <f>'8. T5 KASSABUDJETTI'!L32</f>
        <v>0</v>
      </c>
      <c r="S16" s="1607">
        <f>'8. T5 KASSABUDJETTI'!M32</f>
        <v>0</v>
      </c>
      <c r="T16" s="1607">
        <f>'8. T5 KASSABUDJETTI'!N32</f>
        <v>0</v>
      </c>
      <c r="U16" s="1607">
        <f>'8. T5 KASSABUDJETTI'!O32</f>
        <v>0</v>
      </c>
      <c r="V16" s="1607">
        <f>'8. T5 KASSABUDJETTI'!P32</f>
        <v>0</v>
      </c>
      <c r="W16" s="1607">
        <f>'8. T5 KASSABUDJETTI'!Q32</f>
        <v>0</v>
      </c>
      <c r="X16" s="1607">
        <f>'8. T5 KASSABUDJETTI'!R32</f>
        <v>0</v>
      </c>
      <c r="Y16" s="1608">
        <f t="shared" si="0"/>
        <v>0</v>
      </c>
    </row>
    <row r="17" spans="2:25" x14ac:dyDescent="0.25">
      <c r="B17" s="137"/>
      <c r="C17" s="148" t="s">
        <v>288</v>
      </c>
      <c r="D17" s="75"/>
      <c r="E17" s="75">
        <f>E15*E16</f>
        <v>0</v>
      </c>
      <c r="F17" s="75">
        <f>F15*F16</f>
        <v>0</v>
      </c>
      <c r="G17" s="75">
        <f>G15*G16</f>
        <v>0</v>
      </c>
      <c r="H17" s="75">
        <f>H15*H16</f>
        <v>0</v>
      </c>
      <c r="I17" s="31"/>
      <c r="J17" s="1601"/>
      <c r="K17" s="1845" t="s">
        <v>287</v>
      </c>
      <c r="L17" s="1602"/>
      <c r="M17" s="74">
        <f>M16-M16/(1+$L16%)</f>
        <v>0</v>
      </c>
      <c r="N17" s="74">
        <f t="shared" ref="N17:X17" si="8">N16-N16/(1+$L16%)</f>
        <v>0</v>
      </c>
      <c r="O17" s="74">
        <f t="shared" si="8"/>
        <v>0</v>
      </c>
      <c r="P17" s="74">
        <f t="shared" si="8"/>
        <v>0</v>
      </c>
      <c r="Q17" s="74">
        <f t="shared" si="8"/>
        <v>0</v>
      </c>
      <c r="R17" s="74">
        <f t="shared" si="8"/>
        <v>0</v>
      </c>
      <c r="S17" s="74">
        <f t="shared" si="8"/>
        <v>0</v>
      </c>
      <c r="T17" s="74">
        <f t="shared" si="8"/>
        <v>0</v>
      </c>
      <c r="U17" s="74">
        <f t="shared" si="8"/>
        <v>0</v>
      </c>
      <c r="V17" s="74">
        <f t="shared" si="8"/>
        <v>0</v>
      </c>
      <c r="W17" s="74">
        <f t="shared" si="8"/>
        <v>0</v>
      </c>
      <c r="X17" s="74">
        <f t="shared" si="8"/>
        <v>0</v>
      </c>
      <c r="Y17" s="1603">
        <f t="shared" si="0"/>
        <v>0</v>
      </c>
    </row>
    <row r="18" spans="2:25" x14ac:dyDescent="0.25">
      <c r="C18" s="148" t="s">
        <v>289</v>
      </c>
      <c r="D18" s="75"/>
      <c r="E18" s="75">
        <f>E15-E17</f>
        <v>0</v>
      </c>
      <c r="F18" s="75">
        <f>F15-F17</f>
        <v>0</v>
      </c>
      <c r="G18" s="75">
        <f>G15-G17</f>
        <v>0</v>
      </c>
      <c r="H18" s="75">
        <f>H15-H17</f>
        <v>0</v>
      </c>
      <c r="I18" s="21"/>
      <c r="J18" s="1605">
        <f>'8. T5 KASSABUDJETTI'!B33</f>
        <v>10</v>
      </c>
      <c r="K18" s="244" t="str">
        <f>'8. T5 KASSABUDJETTI'!C33</f>
        <v xml:space="preserve"> Toimitilavuokrat sis. alv</v>
      </c>
      <c r="L18" s="1606">
        <f>'8. T5 KASSABUDJETTI'!F33</f>
        <v>0</v>
      </c>
      <c r="M18" s="1607">
        <f>'8. T5 KASSABUDJETTI'!G33</f>
        <v>0</v>
      </c>
      <c r="N18" s="1607">
        <f>'8. T5 KASSABUDJETTI'!H33</f>
        <v>0</v>
      </c>
      <c r="O18" s="1607">
        <f>'8. T5 KASSABUDJETTI'!I33</f>
        <v>0</v>
      </c>
      <c r="P18" s="1607">
        <f>'8. T5 KASSABUDJETTI'!J33</f>
        <v>0</v>
      </c>
      <c r="Q18" s="1607">
        <f>'8. T5 KASSABUDJETTI'!K33</f>
        <v>0</v>
      </c>
      <c r="R18" s="1607">
        <f>'8. T5 KASSABUDJETTI'!L33</f>
        <v>0</v>
      </c>
      <c r="S18" s="1607">
        <f>'8. T5 KASSABUDJETTI'!M33</f>
        <v>0</v>
      </c>
      <c r="T18" s="1607">
        <f>'8. T5 KASSABUDJETTI'!N33</f>
        <v>0</v>
      </c>
      <c r="U18" s="1607">
        <f>'8. T5 KASSABUDJETTI'!O33</f>
        <v>0</v>
      </c>
      <c r="V18" s="1607">
        <f>'8. T5 KASSABUDJETTI'!P33</f>
        <v>0</v>
      </c>
      <c r="W18" s="1607">
        <f>'8. T5 KASSABUDJETTI'!Q33</f>
        <v>0</v>
      </c>
      <c r="X18" s="1607">
        <f>'8. T5 KASSABUDJETTI'!R33</f>
        <v>0</v>
      </c>
      <c r="Y18" s="1608">
        <f t="shared" si="0"/>
        <v>0</v>
      </c>
    </row>
    <row r="19" spans="2:25" x14ac:dyDescent="0.25">
      <c r="B19" s="1598" t="str">
        <f>'1. T1 INVESTOINTISUUN.'!B27</f>
        <v>4.</v>
      </c>
      <c r="C19" s="148" t="str">
        <f>'1. T1 INVESTOINTISUUN.'!C27</f>
        <v xml:space="preserve"> Koneet ja kalusto sis. alv </v>
      </c>
      <c r="D19" s="148"/>
      <c r="E19" s="148">
        <f>'1. T1 INVESTOINTISUUN.'!E27</f>
        <v>0</v>
      </c>
      <c r="F19" s="148">
        <f>'1. T1 INVESTOINTISUUN.'!F27</f>
        <v>0</v>
      </c>
      <c r="G19" s="148">
        <f>'1. T1 INVESTOINTISUUN.'!G27</f>
        <v>0</v>
      </c>
      <c r="H19" s="148">
        <f>'1. T1 INVESTOINTISUUN.'!H27</f>
        <v>0</v>
      </c>
      <c r="I19" s="31"/>
      <c r="J19" s="1601"/>
      <c r="K19" s="1845" t="s">
        <v>287</v>
      </c>
      <c r="L19" s="1602"/>
      <c r="M19" s="74">
        <f>M18-M18/(1+$L18%)</f>
        <v>0</v>
      </c>
      <c r="N19" s="74">
        <f t="shared" ref="N19:X19" si="9">N18-N18/(1+$L18%)</f>
        <v>0</v>
      </c>
      <c r="O19" s="74">
        <f t="shared" si="9"/>
        <v>0</v>
      </c>
      <c r="P19" s="74">
        <f t="shared" si="9"/>
        <v>0</v>
      </c>
      <c r="Q19" s="74">
        <f t="shared" si="9"/>
        <v>0</v>
      </c>
      <c r="R19" s="74">
        <f t="shared" si="9"/>
        <v>0</v>
      </c>
      <c r="S19" s="74">
        <f t="shared" si="9"/>
        <v>0</v>
      </c>
      <c r="T19" s="74">
        <f t="shared" si="9"/>
        <v>0</v>
      </c>
      <c r="U19" s="74">
        <f t="shared" si="9"/>
        <v>0</v>
      </c>
      <c r="V19" s="74">
        <f t="shared" si="9"/>
        <v>0</v>
      </c>
      <c r="W19" s="74">
        <f t="shared" si="9"/>
        <v>0</v>
      </c>
      <c r="X19" s="74">
        <f t="shared" si="9"/>
        <v>0</v>
      </c>
      <c r="Y19" s="1603">
        <f t="shared" si="0"/>
        <v>0</v>
      </c>
    </row>
    <row r="20" spans="2:25" x14ac:dyDescent="0.25">
      <c r="B20" s="137"/>
      <c r="C20" s="148" t="s">
        <v>293</v>
      </c>
      <c r="D20" s="75"/>
      <c r="E20" s="534">
        <f>'1. T1 INVESTOINTISUUN.'!E56</f>
        <v>0</v>
      </c>
      <c r="F20" s="534">
        <f>'1. T1 INVESTOINTISUUN.'!F56</f>
        <v>0</v>
      </c>
      <c r="G20" s="534">
        <f>'1. T1 INVESTOINTISUUN.'!G56</f>
        <v>0</v>
      </c>
      <c r="H20" s="534">
        <f>'1. T1 INVESTOINTISUUN.'!H56</f>
        <v>0</v>
      </c>
      <c r="I20" s="4"/>
      <c r="K20" s="481"/>
    </row>
    <row r="21" spans="2:25" x14ac:dyDescent="0.25">
      <c r="B21" s="137"/>
      <c r="C21" s="148" t="s">
        <v>294</v>
      </c>
      <c r="D21" s="75"/>
      <c r="E21" s="171">
        <f>E19-E20</f>
        <v>0</v>
      </c>
      <c r="F21" s="171">
        <f>F19-F20</f>
        <v>0</v>
      </c>
      <c r="G21" s="171">
        <f>G19-G20</f>
        <v>0</v>
      </c>
      <c r="H21" s="171">
        <f>H19-H20</f>
        <v>0</v>
      </c>
      <c r="I21" s="4"/>
      <c r="K21" s="481"/>
    </row>
    <row r="22" spans="2:25" x14ac:dyDescent="0.25">
      <c r="B22" s="137" t="s">
        <v>3</v>
      </c>
      <c r="C22" s="148" t="str">
        <f>'1. T1 INVESTOINTISUUN.'!C28</f>
        <v xml:space="preserve"> - arvonlisävero-%</v>
      </c>
      <c r="D22" s="149"/>
      <c r="E22" s="149">
        <f>'1. T1 INVESTOINTISUUN.'!E28</f>
        <v>0.24</v>
      </c>
      <c r="F22" s="149">
        <f>'1. T1 INVESTOINTISUUN.'!F28</f>
        <v>0.24</v>
      </c>
      <c r="G22" s="149">
        <f>'1. T1 INVESTOINTISUUN.'!G28</f>
        <v>0.24</v>
      </c>
      <c r="H22" s="149">
        <f>'1. T1 INVESTOINTISUUN.'!H28</f>
        <v>0.24</v>
      </c>
      <c r="I22" s="31"/>
      <c r="J22" s="1605">
        <f>'8. T5 KASSABUDJETTI'!B34</f>
        <v>11</v>
      </c>
      <c r="K22" s="244" t="str">
        <f>'8. T5 KASSABUDJETTI'!C34</f>
        <v xml:space="preserve"> Kone-/työajoneuvoleasing ja vuokrakulut, liikekäyttö</v>
      </c>
      <c r="L22" s="1606">
        <f>'8. T5 KASSABUDJETTI'!F34</f>
        <v>24</v>
      </c>
      <c r="M22" s="1607">
        <f>'8. T5 KASSABUDJETTI'!G34</f>
        <v>0</v>
      </c>
      <c r="N22" s="1607">
        <f>'8. T5 KASSABUDJETTI'!H34</f>
        <v>0</v>
      </c>
      <c r="O22" s="1607">
        <f>'8. T5 KASSABUDJETTI'!I34</f>
        <v>0</v>
      </c>
      <c r="P22" s="1607">
        <f>'8. T5 KASSABUDJETTI'!J34</f>
        <v>0</v>
      </c>
      <c r="Q22" s="1607">
        <f>'8. T5 KASSABUDJETTI'!K34</f>
        <v>0</v>
      </c>
      <c r="R22" s="1607">
        <f>'8. T5 KASSABUDJETTI'!L34</f>
        <v>0</v>
      </c>
      <c r="S22" s="1607">
        <f>'8. T5 KASSABUDJETTI'!M34</f>
        <v>0</v>
      </c>
      <c r="T22" s="1607">
        <f>'8. T5 KASSABUDJETTI'!N34</f>
        <v>0</v>
      </c>
      <c r="U22" s="1607">
        <f>'8. T5 KASSABUDJETTI'!O34</f>
        <v>0</v>
      </c>
      <c r="V22" s="1607">
        <f>'8. T5 KASSABUDJETTI'!P34</f>
        <v>0</v>
      </c>
      <c r="W22" s="1607">
        <f>'8. T5 KASSABUDJETTI'!Q34</f>
        <v>0</v>
      </c>
      <c r="X22" s="1607">
        <f>'8. T5 KASSABUDJETTI'!R34</f>
        <v>0</v>
      </c>
      <c r="Y22" s="1608">
        <f>SUM(M22:X22)</f>
        <v>0</v>
      </c>
    </row>
    <row r="23" spans="2:25" x14ac:dyDescent="0.25">
      <c r="B23" s="137"/>
      <c r="C23" s="148" t="s">
        <v>291</v>
      </c>
      <c r="D23" s="150"/>
      <c r="E23" s="150">
        <f>E21/(1+E22)</f>
        <v>0</v>
      </c>
      <c r="F23" s="150">
        <f>F21/(1+F22)</f>
        <v>0</v>
      </c>
      <c r="G23" s="150">
        <f>G21/(1+G22)</f>
        <v>0</v>
      </c>
      <c r="H23" s="150">
        <f>H21/(1+H22)</f>
        <v>0</v>
      </c>
      <c r="I23" s="31"/>
      <c r="J23" s="1601"/>
      <c r="K23" s="1845" t="s">
        <v>287</v>
      </c>
      <c r="L23" s="1602"/>
      <c r="M23" s="74">
        <f>M22-M22/(1+$L22%)</f>
        <v>0</v>
      </c>
      <c r="N23" s="74">
        <f t="shared" ref="N23:X23" si="10">N22-N22/(1+$L22%)</f>
        <v>0</v>
      </c>
      <c r="O23" s="74">
        <f t="shared" si="10"/>
        <v>0</v>
      </c>
      <c r="P23" s="74">
        <f t="shared" si="10"/>
        <v>0</v>
      </c>
      <c r="Q23" s="74">
        <f t="shared" si="10"/>
        <v>0</v>
      </c>
      <c r="R23" s="74">
        <f t="shared" si="10"/>
        <v>0</v>
      </c>
      <c r="S23" s="74">
        <f t="shared" si="10"/>
        <v>0</v>
      </c>
      <c r="T23" s="74">
        <f t="shared" si="10"/>
        <v>0</v>
      </c>
      <c r="U23" s="74">
        <f t="shared" si="10"/>
        <v>0</v>
      </c>
      <c r="V23" s="74">
        <f t="shared" si="10"/>
        <v>0</v>
      </c>
      <c r="W23" s="74">
        <f t="shared" si="10"/>
        <v>0</v>
      </c>
      <c r="X23" s="74">
        <f t="shared" si="10"/>
        <v>0</v>
      </c>
      <c r="Y23" s="1603">
        <f>SUM(M23:X23)</f>
        <v>0</v>
      </c>
    </row>
    <row r="24" spans="2:25" x14ac:dyDescent="0.25">
      <c r="B24" s="137"/>
      <c r="C24" s="148" t="s">
        <v>292</v>
      </c>
      <c r="D24" s="150"/>
      <c r="E24" s="150">
        <f>E21-E23</f>
        <v>0</v>
      </c>
      <c r="F24" s="150">
        <f>F21-F23</f>
        <v>0</v>
      </c>
      <c r="G24" s="150">
        <f>G21-G23</f>
        <v>0</v>
      </c>
      <c r="H24" s="150">
        <f>H21-H23</f>
        <v>0</v>
      </c>
      <c r="I24" s="31"/>
      <c r="J24" s="1605">
        <f>'8. T5 KASSABUDJETTI'!B35</f>
        <v>12</v>
      </c>
      <c r="K24" s="244" t="str">
        <f>'8. T5 KASSABUDJETTI'!C35</f>
        <v xml:space="preserve"> Muut kiinteät kulut sis. arvonlisäveron</v>
      </c>
      <c r="L24" s="1606">
        <f>'8. T5 KASSABUDJETTI'!F35</f>
        <v>24</v>
      </c>
      <c r="M24" s="1607">
        <f>'8. T5 KASSABUDJETTI'!G35</f>
        <v>0</v>
      </c>
      <c r="N24" s="1607">
        <f>'8. T5 KASSABUDJETTI'!H35</f>
        <v>0</v>
      </c>
      <c r="O24" s="1607">
        <f>'8. T5 KASSABUDJETTI'!I35</f>
        <v>0</v>
      </c>
      <c r="P24" s="1607">
        <f>'8. T5 KASSABUDJETTI'!J35</f>
        <v>0</v>
      </c>
      <c r="Q24" s="1607">
        <f>'8. T5 KASSABUDJETTI'!K35</f>
        <v>0</v>
      </c>
      <c r="R24" s="1607">
        <f>'8. T5 KASSABUDJETTI'!L35</f>
        <v>0</v>
      </c>
      <c r="S24" s="1607">
        <f>'8. T5 KASSABUDJETTI'!M35</f>
        <v>0</v>
      </c>
      <c r="T24" s="1607">
        <f>'8. T5 KASSABUDJETTI'!N35</f>
        <v>0</v>
      </c>
      <c r="U24" s="1607">
        <f>'8. T5 KASSABUDJETTI'!O35</f>
        <v>0</v>
      </c>
      <c r="V24" s="1607">
        <f>'8. T5 KASSABUDJETTI'!P35</f>
        <v>0</v>
      </c>
      <c r="W24" s="1607">
        <f>'8. T5 KASSABUDJETTI'!Q35</f>
        <v>0</v>
      </c>
      <c r="X24" s="1607">
        <f>'8. T5 KASSABUDJETTI'!R35</f>
        <v>0</v>
      </c>
      <c r="Y24" s="1608">
        <f>SUM(M24:X24)</f>
        <v>0</v>
      </c>
    </row>
    <row r="25" spans="2:25" x14ac:dyDescent="0.25">
      <c r="B25" s="137" t="s">
        <v>3</v>
      </c>
      <c r="C25" s="148" t="str">
        <f>'1. T1 INVESTOINTISUUN.'!C29</f>
        <v xml:space="preserve"> - avustus-%</v>
      </c>
      <c r="D25" s="149"/>
      <c r="E25" s="149">
        <f>'1. T1 INVESTOINTISUUN.'!E29</f>
        <v>0</v>
      </c>
      <c r="F25" s="149">
        <f>'1. T1 INVESTOINTISUUN.'!F29</f>
        <v>0</v>
      </c>
      <c r="G25" s="149">
        <f>'1. T1 INVESTOINTISUUN.'!G29</f>
        <v>0</v>
      </c>
      <c r="H25" s="149">
        <f>'1. T1 INVESTOINTISUUN.'!H29</f>
        <v>0</v>
      </c>
      <c r="I25" s="15"/>
      <c r="J25" s="1601"/>
      <c r="K25" s="1845" t="s">
        <v>287</v>
      </c>
      <c r="L25" s="1602"/>
      <c r="M25" s="74">
        <f>M24-M24/(1+$L24%)</f>
        <v>0</v>
      </c>
      <c r="N25" s="74">
        <f t="shared" ref="N25:X25" si="11">N24-N24/(1+$L24%)</f>
        <v>0</v>
      </c>
      <c r="O25" s="74">
        <f>O24-O24/(1+$L24%)</f>
        <v>0</v>
      </c>
      <c r="P25" s="74">
        <f t="shared" si="11"/>
        <v>0</v>
      </c>
      <c r="Q25" s="74">
        <f t="shared" si="11"/>
        <v>0</v>
      </c>
      <c r="R25" s="74">
        <f t="shared" si="11"/>
        <v>0</v>
      </c>
      <c r="S25" s="74">
        <f t="shared" si="11"/>
        <v>0</v>
      </c>
      <c r="T25" s="74">
        <f t="shared" si="11"/>
        <v>0</v>
      </c>
      <c r="U25" s="74">
        <f t="shared" si="11"/>
        <v>0</v>
      </c>
      <c r="V25" s="74">
        <f t="shared" si="11"/>
        <v>0</v>
      </c>
      <c r="W25" s="74">
        <f t="shared" si="11"/>
        <v>0</v>
      </c>
      <c r="X25" s="74">
        <f t="shared" si="11"/>
        <v>0</v>
      </c>
      <c r="Y25" s="1603">
        <f>SUM(M25:X25)</f>
        <v>0</v>
      </c>
    </row>
    <row r="26" spans="2:25" x14ac:dyDescent="0.25">
      <c r="B26" s="137"/>
      <c r="C26" s="148" t="s">
        <v>288</v>
      </c>
      <c r="D26" s="150"/>
      <c r="E26" s="150">
        <f>E23*E25</f>
        <v>0</v>
      </c>
      <c r="F26" s="150">
        <f>F23*F25</f>
        <v>0</v>
      </c>
      <c r="G26" s="150">
        <f>G23*G25</f>
        <v>0</v>
      </c>
      <c r="H26" s="150">
        <f>H23*H25</f>
        <v>0</v>
      </c>
      <c r="I26" s="15"/>
      <c r="J26" s="1861"/>
      <c r="K26" s="378" t="s">
        <v>295</v>
      </c>
      <c r="L26" s="378"/>
      <c r="M26" s="378">
        <f>M11+M13+M15+M17+M19+M23+M25</f>
        <v>0</v>
      </c>
      <c r="N26" s="378">
        <f t="shared" ref="N26:X26" si="12">N11+N13+N15+N17+N19+N23+N25</f>
        <v>0</v>
      </c>
      <c r="O26" s="378">
        <f>O11+O13+O15+O17+O19+O23+O25</f>
        <v>0</v>
      </c>
      <c r="P26" s="378">
        <f t="shared" si="12"/>
        <v>0</v>
      </c>
      <c r="Q26" s="378">
        <f t="shared" si="12"/>
        <v>0</v>
      </c>
      <c r="R26" s="378">
        <f t="shared" si="12"/>
        <v>0</v>
      </c>
      <c r="S26" s="378">
        <f t="shared" si="12"/>
        <v>0</v>
      </c>
      <c r="T26" s="378">
        <f t="shared" si="12"/>
        <v>0</v>
      </c>
      <c r="U26" s="378">
        <f t="shared" si="12"/>
        <v>0</v>
      </c>
      <c r="V26" s="378">
        <f t="shared" si="12"/>
        <v>0</v>
      </c>
      <c r="W26" s="378">
        <f t="shared" si="12"/>
        <v>0</v>
      </c>
      <c r="X26" s="378">
        <f t="shared" si="12"/>
        <v>0</v>
      </c>
    </row>
    <row r="27" spans="2:25" x14ac:dyDescent="0.25">
      <c r="C27" s="148" t="s">
        <v>289</v>
      </c>
      <c r="D27" s="171"/>
      <c r="E27" s="171">
        <f>E23-E26</f>
        <v>0</v>
      </c>
      <c r="F27" s="171">
        <f>F23-F26</f>
        <v>0</v>
      </c>
      <c r="G27" s="171">
        <f>G23-G26</f>
        <v>0</v>
      </c>
      <c r="H27" s="171">
        <f>H23-H26</f>
        <v>0</v>
      </c>
      <c r="I27" s="21"/>
      <c r="K27" s="387" t="s">
        <v>296</v>
      </c>
      <c r="L27" s="387"/>
      <c r="M27" s="377">
        <f t="shared" ref="M27:X27" si="13">M9-M26</f>
        <v>0</v>
      </c>
      <c r="N27" s="377">
        <f t="shared" si="13"/>
        <v>0</v>
      </c>
      <c r="O27" s="377">
        <f t="shared" si="13"/>
        <v>0</v>
      </c>
      <c r="P27" s="377">
        <f t="shared" si="13"/>
        <v>0</v>
      </c>
      <c r="Q27" s="377">
        <f t="shared" si="13"/>
        <v>0</v>
      </c>
      <c r="R27" s="377">
        <f t="shared" si="13"/>
        <v>0</v>
      </c>
      <c r="S27" s="377">
        <f t="shared" si="13"/>
        <v>0</v>
      </c>
      <c r="T27" s="377">
        <f t="shared" si="13"/>
        <v>0</v>
      </c>
      <c r="U27" s="377">
        <f t="shared" si="13"/>
        <v>0</v>
      </c>
      <c r="V27" s="377">
        <f t="shared" si="13"/>
        <v>0</v>
      </c>
      <c r="W27" s="377">
        <f t="shared" si="13"/>
        <v>0</v>
      </c>
      <c r="X27" s="377">
        <f t="shared" si="13"/>
        <v>0</v>
      </c>
    </row>
    <row r="28" spans="2:25" x14ac:dyDescent="0.25">
      <c r="B28" s="1598" t="str">
        <f>'1. T1 INVESTOINTISUUN.'!B30</f>
        <v>5.</v>
      </c>
      <c r="C28" s="148" t="str">
        <f>'1. T1 INVESTOINTISUUN.'!C30</f>
        <v xml:space="preserve"> Koneet ja kalusto alv 0 %</v>
      </c>
      <c r="D28" s="148"/>
      <c r="E28" s="148">
        <f>'1. T1 INVESTOINTISUUN.'!E30</f>
        <v>0</v>
      </c>
      <c r="F28" s="148">
        <f>'1. T1 INVESTOINTISUUN.'!F30</f>
        <v>0</v>
      </c>
      <c r="G28" s="148">
        <f>'1. T1 INVESTOINTISUUN.'!G30</f>
        <v>0</v>
      </c>
      <c r="H28" s="148">
        <f>'1. T1 INVESTOINTISUUN.'!H30</f>
        <v>0</v>
      </c>
      <c r="I28" s="15"/>
      <c r="J28" s="15"/>
      <c r="K28" s="15"/>
    </row>
    <row r="29" spans="2:25" x14ac:dyDescent="0.25">
      <c r="B29" s="137"/>
      <c r="C29" s="148" t="s">
        <v>293</v>
      </c>
      <c r="D29" s="149"/>
      <c r="E29" s="534">
        <f>'1. T1 INVESTOINTISUUN.'!E57</f>
        <v>0</v>
      </c>
      <c r="F29" s="534">
        <f>'1. T1 INVESTOINTISUUN.'!F57</f>
        <v>0</v>
      </c>
      <c r="G29" s="534">
        <f>'1. T1 INVESTOINTISUUN.'!G57</f>
        <v>0</v>
      </c>
      <c r="H29" s="534">
        <f>'1. T1 INVESTOINTISUUN.'!H57</f>
        <v>0</v>
      </c>
      <c r="I29" s="15"/>
      <c r="J29" s="15"/>
      <c r="K29" s="15"/>
    </row>
    <row r="30" spans="2:25" x14ac:dyDescent="0.25">
      <c r="C30" s="148" t="s">
        <v>297</v>
      </c>
      <c r="D30" s="75"/>
      <c r="E30" s="171">
        <f>E28-E29</f>
        <v>0</v>
      </c>
      <c r="F30" s="171">
        <f>F28-F29</f>
        <v>0</v>
      </c>
      <c r="G30" s="171">
        <f>G28-G29</f>
        <v>0</v>
      </c>
      <c r="H30" s="171">
        <f>H28-H29</f>
        <v>0</v>
      </c>
      <c r="I30" s="21"/>
      <c r="J30" s="21"/>
      <c r="K30" s="21"/>
    </row>
    <row r="31" spans="2:25" x14ac:dyDescent="0.25">
      <c r="C31" s="148" t="str">
        <f>'1. T1 INVESTOINTISUUN.'!C31</f>
        <v xml:space="preserve"> - avustus-%</v>
      </c>
      <c r="D31" s="75"/>
      <c r="E31" s="149">
        <f>'1. T1 INVESTOINTISUUN.'!E31</f>
        <v>0</v>
      </c>
      <c r="F31" s="149">
        <f>'1. T1 INVESTOINTISUUN.'!F31</f>
        <v>0</v>
      </c>
      <c r="G31" s="149">
        <f>'1. T1 INVESTOINTISUUN.'!G31</f>
        <v>0</v>
      </c>
      <c r="H31" s="149">
        <f>'1. T1 INVESTOINTISUUN.'!H31</f>
        <v>0</v>
      </c>
      <c r="I31" s="21"/>
      <c r="J31" s="21"/>
      <c r="K31" s="21"/>
    </row>
    <row r="32" spans="2:25" x14ac:dyDescent="0.25">
      <c r="B32" s="137"/>
      <c r="C32" s="148" t="s">
        <v>288</v>
      </c>
      <c r="D32" s="150"/>
      <c r="E32" s="150">
        <f>E30*E31</f>
        <v>0</v>
      </c>
      <c r="F32" s="150">
        <f>F30*F31</f>
        <v>0</v>
      </c>
      <c r="G32" s="150">
        <f>G30*G31</f>
        <v>0</v>
      </c>
      <c r="H32" s="150">
        <f>H30*H31</f>
        <v>0</v>
      </c>
      <c r="I32" s="15"/>
      <c r="J32" s="1861"/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</row>
    <row r="33" spans="2:24" x14ac:dyDescent="0.25">
      <c r="C33" s="148" t="s">
        <v>289</v>
      </c>
      <c r="D33" s="171"/>
      <c r="E33" s="171">
        <f>E30-E32</f>
        <v>0</v>
      </c>
      <c r="F33" s="171">
        <f>F30-F32</f>
        <v>0</v>
      </c>
      <c r="G33" s="171">
        <f>G30-G32</f>
        <v>0</v>
      </c>
      <c r="H33" s="171">
        <f>H30-H32</f>
        <v>0</v>
      </c>
      <c r="I33" s="21"/>
      <c r="J33" s="387"/>
      <c r="K33" s="387"/>
      <c r="L33" s="387"/>
      <c r="M33" s="377"/>
      <c r="N33" s="377"/>
      <c r="O33" s="377"/>
      <c r="P33" s="377"/>
      <c r="Q33" s="377"/>
      <c r="R33" s="377"/>
      <c r="S33" s="377"/>
      <c r="T33" s="377"/>
      <c r="U33" s="377"/>
      <c r="V33" s="377"/>
      <c r="W33" s="377"/>
      <c r="X33" s="377"/>
    </row>
    <row r="34" spans="2:24" x14ac:dyDescent="0.25">
      <c r="B34" s="1598" t="str">
        <f>'1. T1 INVESTOINTISUUN.'!B32</f>
        <v>6.</v>
      </c>
      <c r="C34" s="148" t="str">
        <f>'1. T1 INVESTOINTISUUN.'!C32</f>
        <v xml:space="preserve"> Muut aineelliset hyödykkeet sis. alv</v>
      </c>
      <c r="D34" s="148"/>
      <c r="E34" s="148">
        <f>'1. T1 INVESTOINTISUUN.'!E32</f>
        <v>0</v>
      </c>
      <c r="F34" s="148">
        <f>'1. T1 INVESTOINTISUUN.'!F32</f>
        <v>0</v>
      </c>
      <c r="G34" s="148">
        <f>'1. T1 INVESTOINTISUUN.'!G32</f>
        <v>0</v>
      </c>
      <c r="H34" s="148">
        <f>'1. T1 INVESTOINTISUUN.'!H32</f>
        <v>0</v>
      </c>
      <c r="I34" s="31"/>
      <c r="J34" s="31"/>
      <c r="K34" s="31"/>
    </row>
    <row r="35" spans="2:24" x14ac:dyDescent="0.25">
      <c r="B35" s="137"/>
      <c r="C35" s="148" t="str">
        <f>'1. T1 INVESTOINTISUUN.'!C33</f>
        <v xml:space="preserve"> - arvonlisävero-%</v>
      </c>
      <c r="D35" s="149"/>
      <c r="E35" s="149">
        <f>'1. T1 INVESTOINTISUUN.'!E33</f>
        <v>0.24</v>
      </c>
      <c r="F35" s="149">
        <f>'1. T1 INVESTOINTISUUN.'!F33</f>
        <v>0.24</v>
      </c>
      <c r="G35" s="149">
        <f>'1. T1 INVESTOINTISUUN.'!G33</f>
        <v>0.24</v>
      </c>
      <c r="H35" s="149">
        <f>'1. T1 INVESTOINTISUUN.'!H33</f>
        <v>0.24</v>
      </c>
      <c r="I35" s="31"/>
      <c r="J35" s="31"/>
      <c r="K35" s="31"/>
    </row>
    <row r="36" spans="2:24" x14ac:dyDescent="0.25">
      <c r="B36" s="137"/>
      <c r="C36" s="148" t="s">
        <v>291</v>
      </c>
      <c r="D36" s="150"/>
      <c r="E36" s="150">
        <f>E34/(1+E35)</f>
        <v>0</v>
      </c>
      <c r="F36" s="150">
        <f>F34/(1+F35)</f>
        <v>0</v>
      </c>
      <c r="G36" s="150">
        <f>G34/(1+G35)</f>
        <v>0</v>
      </c>
      <c r="H36" s="150">
        <f>H34/(1+H35)</f>
        <v>0</v>
      </c>
      <c r="I36" s="31"/>
      <c r="J36" s="31"/>
      <c r="K36" s="31"/>
    </row>
    <row r="37" spans="2:24" x14ac:dyDescent="0.25">
      <c r="B37" s="137"/>
      <c r="C37" s="148" t="s">
        <v>292</v>
      </c>
      <c r="D37" s="150"/>
      <c r="E37" s="150">
        <f>E34-E36</f>
        <v>0</v>
      </c>
      <c r="F37" s="150">
        <f>F34-F36</f>
        <v>0</v>
      </c>
      <c r="G37" s="150">
        <f>G34-G36</f>
        <v>0</v>
      </c>
      <c r="H37" s="150">
        <f>H34-H36</f>
        <v>0</v>
      </c>
      <c r="I37" s="31"/>
      <c r="J37" s="31"/>
      <c r="K37" s="31"/>
    </row>
    <row r="38" spans="2:24" x14ac:dyDescent="0.25">
      <c r="B38" s="137"/>
      <c r="C38" s="148" t="str">
        <f>'1. T1 INVESTOINTISUUN.'!C34</f>
        <v xml:space="preserve"> - avustus-%</v>
      </c>
      <c r="D38" s="149"/>
      <c r="E38" s="149">
        <f>'1. T1 INVESTOINTISUUN.'!E34</f>
        <v>0</v>
      </c>
      <c r="F38" s="149">
        <f>'1. T1 INVESTOINTISUUN.'!F34</f>
        <v>0</v>
      </c>
      <c r="G38" s="149">
        <f>'1. T1 INVESTOINTISUUN.'!G34</f>
        <v>0</v>
      </c>
      <c r="H38" s="149">
        <f>'1. T1 INVESTOINTISUUN.'!H34</f>
        <v>0</v>
      </c>
      <c r="I38" s="31"/>
      <c r="J38" s="31"/>
      <c r="K38" s="31"/>
    </row>
    <row r="39" spans="2:24" x14ac:dyDescent="0.25">
      <c r="B39" s="137"/>
      <c r="C39" s="148" t="s">
        <v>288</v>
      </c>
      <c r="D39" s="150"/>
      <c r="E39" s="150">
        <f>E36*E38</f>
        <v>0</v>
      </c>
      <c r="F39" s="150">
        <f>F36*F38</f>
        <v>0</v>
      </c>
      <c r="G39" s="150">
        <f>G36*G38</f>
        <v>0</v>
      </c>
      <c r="H39" s="150">
        <f>H36*H38</f>
        <v>0</v>
      </c>
      <c r="I39" s="31"/>
      <c r="J39" s="31"/>
      <c r="K39" s="31"/>
    </row>
    <row r="40" spans="2:24" x14ac:dyDescent="0.25">
      <c r="C40" s="148" t="s">
        <v>289</v>
      </c>
      <c r="D40" s="171"/>
      <c r="E40" s="171">
        <f>E36-E39</f>
        <v>0</v>
      </c>
      <c r="F40" s="171">
        <f>F36-F39</f>
        <v>0</v>
      </c>
      <c r="G40" s="171">
        <f>G36-G39</f>
        <v>0</v>
      </c>
      <c r="H40" s="171">
        <f>H36-H39</f>
        <v>0</v>
      </c>
      <c r="I40" s="21"/>
      <c r="J40" s="21"/>
      <c r="K40" s="21"/>
    </row>
    <row r="41" spans="2:24" x14ac:dyDescent="0.25">
      <c r="B41" s="1598" t="str">
        <f>'1. T1 INVESTOINTISUUN.'!B35</f>
        <v>7.</v>
      </c>
      <c r="C41" s="148" t="str">
        <f>'1. T1 INVESTOINTISUUN.'!C35</f>
        <v xml:space="preserve"> Aineettomat hyödykkeet</v>
      </c>
      <c r="D41" s="148"/>
      <c r="E41" s="148">
        <f>'1. T1 INVESTOINTISUUN.'!E35</f>
        <v>0</v>
      </c>
      <c r="F41" s="148">
        <f>'1. T1 INVESTOINTISUUN.'!F35</f>
        <v>0</v>
      </c>
      <c r="G41" s="148">
        <f>'1. T1 INVESTOINTISUUN.'!G35</f>
        <v>0</v>
      </c>
      <c r="H41" s="148">
        <f>'1. T1 INVESTOINTISUUN.'!H35</f>
        <v>0</v>
      </c>
      <c r="I41" s="31"/>
      <c r="J41" s="31"/>
      <c r="K41" s="31"/>
    </row>
    <row r="42" spans="2:24" x14ac:dyDescent="0.25">
      <c r="B42" s="137"/>
      <c r="C42" s="148" t="str">
        <f>'1. T1 INVESTOINTISUUN.'!C36</f>
        <v xml:space="preserve"> - arvonlisävero-%</v>
      </c>
      <c r="D42" s="230"/>
      <c r="E42" s="230">
        <f>'1. T1 INVESTOINTISUUN.'!E36</f>
        <v>0.24</v>
      </c>
      <c r="F42" s="230">
        <f>'1. T1 INVESTOINTISUUN.'!F36</f>
        <v>0.24</v>
      </c>
      <c r="G42" s="230">
        <f>'1. T1 INVESTOINTISUUN.'!G36</f>
        <v>0.24</v>
      </c>
      <c r="H42" s="230">
        <f>'1. T1 INVESTOINTISUUN.'!H36</f>
        <v>0.24</v>
      </c>
      <c r="I42" s="31"/>
      <c r="J42" s="31"/>
      <c r="K42" s="31"/>
    </row>
    <row r="43" spans="2:24" x14ac:dyDescent="0.25">
      <c r="B43" s="137"/>
      <c r="C43" s="148" t="s">
        <v>291</v>
      </c>
      <c r="D43" s="150"/>
      <c r="E43" s="150">
        <f>E41/(1+E42)</f>
        <v>0</v>
      </c>
      <c r="F43" s="150">
        <f>F41/(1+F42)</f>
        <v>0</v>
      </c>
      <c r="G43" s="150">
        <f>G41/(1+G42)</f>
        <v>0</v>
      </c>
      <c r="H43" s="150">
        <f>H41/(1+H42)</f>
        <v>0</v>
      </c>
      <c r="I43" s="31"/>
      <c r="J43" s="31"/>
      <c r="K43" s="31"/>
    </row>
    <row r="44" spans="2:24" x14ac:dyDescent="0.25">
      <c r="B44" s="137"/>
      <c r="C44" s="148" t="s">
        <v>292</v>
      </c>
      <c r="D44" s="150"/>
      <c r="E44" s="150">
        <f>E41-E43</f>
        <v>0</v>
      </c>
      <c r="F44" s="150">
        <f>F41-F43</f>
        <v>0</v>
      </c>
      <c r="G44" s="150">
        <f>G41-G43</f>
        <v>0</v>
      </c>
      <c r="H44" s="150">
        <f>H41-H43</f>
        <v>0</v>
      </c>
      <c r="I44" s="31"/>
      <c r="J44" s="31"/>
      <c r="K44" s="31"/>
    </row>
    <row r="45" spans="2:24" x14ac:dyDescent="0.25">
      <c r="B45" s="137"/>
      <c r="C45" s="148" t="s">
        <v>27</v>
      </c>
      <c r="D45" s="149"/>
      <c r="E45" s="149">
        <f>'1. T1 INVESTOINTISUUN.'!E37</f>
        <v>0</v>
      </c>
      <c r="F45" s="149">
        <f>'1. T1 INVESTOINTISUUN.'!F37</f>
        <v>0</v>
      </c>
      <c r="G45" s="149">
        <f>'1. T1 INVESTOINTISUUN.'!G37</f>
        <v>0</v>
      </c>
      <c r="H45" s="149">
        <f>'1. T1 INVESTOINTISUUN.'!H37</f>
        <v>0</v>
      </c>
      <c r="I45" s="31"/>
      <c r="J45" s="31"/>
      <c r="K45" s="31"/>
    </row>
    <row r="46" spans="2:24" x14ac:dyDescent="0.25">
      <c r="B46" s="137"/>
      <c r="C46" s="148" t="s">
        <v>288</v>
      </c>
      <c r="D46" s="150"/>
      <c r="E46" s="150">
        <f>E43*E45</f>
        <v>0</v>
      </c>
      <c r="F46" s="150">
        <f>F43*F45</f>
        <v>0</v>
      </c>
      <c r="G46" s="150">
        <f>G43*G45</f>
        <v>0</v>
      </c>
      <c r="H46" s="150">
        <f>H43*H45</f>
        <v>0</v>
      </c>
      <c r="I46" s="31"/>
      <c r="J46" s="31"/>
      <c r="K46" s="31"/>
    </row>
    <row r="47" spans="2:24" x14ac:dyDescent="0.25">
      <c r="C47" s="148" t="s">
        <v>289</v>
      </c>
      <c r="D47" s="171"/>
      <c r="E47" s="171">
        <f>E43-E46</f>
        <v>0</v>
      </c>
      <c r="F47" s="171">
        <f>F43-F46</f>
        <v>0</v>
      </c>
      <c r="G47" s="171">
        <f>G43-G46</f>
        <v>0</v>
      </c>
      <c r="H47" s="171">
        <f>H43-H46</f>
        <v>0</v>
      </c>
      <c r="I47" s="21"/>
      <c r="J47" s="21"/>
      <c r="K47" s="21"/>
    </row>
    <row r="48" spans="2:24" x14ac:dyDescent="0.25">
      <c r="B48" s="137"/>
      <c r="C48" s="4" t="s">
        <v>298</v>
      </c>
      <c r="D48" s="4"/>
      <c r="E48" s="4">
        <f>E4+E8+E15+E19+E28+E34+E41</f>
        <v>0</v>
      </c>
      <c r="F48" s="4">
        <f t="shared" ref="F48:H48" si="14">F4+F8+F15+F19+F28+F34+F41</f>
        <v>0</v>
      </c>
      <c r="G48" s="4">
        <f t="shared" si="14"/>
        <v>0</v>
      </c>
      <c r="H48" s="4">
        <f t="shared" si="14"/>
        <v>0</v>
      </c>
    </row>
    <row r="49" spans="2:8" x14ac:dyDescent="0.25">
      <c r="B49" s="137"/>
      <c r="C49" s="4" t="s">
        <v>299</v>
      </c>
      <c r="D49" s="26">
        <f>D11+D24+D37+D44</f>
        <v>0</v>
      </c>
      <c r="E49" s="26">
        <f>E11+E24+E37+E44</f>
        <v>0</v>
      </c>
      <c r="F49" s="26">
        <f>F11+F24+F37+F44</f>
        <v>0</v>
      </c>
      <c r="G49" s="26">
        <f>G11+G24+G37+G44</f>
        <v>0</v>
      </c>
      <c r="H49" s="26">
        <f>H11+H24+H37+H44</f>
        <v>0</v>
      </c>
    </row>
    <row r="50" spans="2:8" x14ac:dyDescent="0.25">
      <c r="B50" s="137"/>
      <c r="C50" s="4" t="s">
        <v>300</v>
      </c>
      <c r="D50" s="26">
        <f>D6+D13+D17+D26+D39+D46</f>
        <v>0</v>
      </c>
      <c r="E50" s="26">
        <f>E6+E13+E17+E26+E39+E46+E32</f>
        <v>0</v>
      </c>
      <c r="F50" s="26">
        <f>F6+F13+F17+F26+F39+F46+F32</f>
        <v>0</v>
      </c>
      <c r="G50" s="26">
        <f>G6+G13+G17+G26+G39+G46+G32</f>
        <v>0</v>
      </c>
      <c r="H50" s="26">
        <f>H6+H13+H17+H26+H39+H46+H32</f>
        <v>0</v>
      </c>
    </row>
    <row r="51" spans="2:8" x14ac:dyDescent="0.25">
      <c r="B51" s="137"/>
      <c r="C51" s="4"/>
      <c r="D51" s="4"/>
      <c r="E51" s="4"/>
      <c r="F51" s="4"/>
      <c r="G51" s="4"/>
      <c r="H51" s="535"/>
    </row>
    <row r="52" spans="2:8" x14ac:dyDescent="0.25">
      <c r="B52" s="137"/>
      <c r="C52" s="4" t="s">
        <v>3</v>
      </c>
      <c r="D52" s="4"/>
      <c r="E52" s="4"/>
      <c r="F52" s="4"/>
      <c r="G52" s="4"/>
      <c r="H52" s="535"/>
    </row>
    <row r="53" spans="2:8" x14ac:dyDescent="0.25">
      <c r="B53" s="137"/>
      <c r="C53" s="4"/>
      <c r="D53" s="4"/>
      <c r="E53" s="4"/>
      <c r="F53" s="4"/>
      <c r="G53" s="4"/>
      <c r="H53" s="535"/>
    </row>
    <row r="54" spans="2:8" x14ac:dyDescent="0.25">
      <c r="B54" s="137"/>
      <c r="C54" s="4"/>
      <c r="D54" s="4"/>
      <c r="E54" s="4"/>
      <c r="F54" s="4"/>
      <c r="G54" s="4"/>
      <c r="H54" s="535"/>
    </row>
    <row r="55" spans="2:8" x14ac:dyDescent="0.25">
      <c r="B55" s="137"/>
      <c r="C55" s="4"/>
      <c r="D55" s="4"/>
      <c r="E55" s="4"/>
      <c r="F55" s="4"/>
      <c r="G55" s="4"/>
      <c r="H55" s="535"/>
    </row>
    <row r="56" spans="2:8" x14ac:dyDescent="0.25">
      <c r="B56" s="1837"/>
      <c r="C56" s="535"/>
      <c r="D56" s="535"/>
      <c r="E56" s="535"/>
      <c r="F56" s="535"/>
      <c r="G56" s="535"/>
      <c r="H56" s="535"/>
    </row>
  </sheetData>
  <sheetProtection algorithmName="SHA-512" hashValue="wNxDlIBh6bLPlm3llVoTPK3vbKV1zm6HU2yBQBso7cBlf8kUkzSjjtX2zmUPaAT/WXo/S1uPrtvar/VRsWlqzw==" saltValue="C0rjqHZ6AJZABWy82sTtbw==" spinCount="100000" sheet="1" objects="1" scenarios="1" selectLockedCells="1" selectUnlockedCells="1"/>
  <mergeCells count="1">
    <mergeCell ref="C2:C3"/>
  </mergeCells>
  <pageMargins left="0.7" right="0.7" top="0.75" bottom="0.75" header="0.3" footer="0.3"/>
  <pageSetup paperSize="9" orientation="portrait" verticalDpi="4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AN127"/>
  <sheetViews>
    <sheetView zoomScale="85" zoomScaleNormal="85" workbookViewId="0">
      <selection activeCell="E56" sqref="E56:F56"/>
    </sheetView>
  </sheetViews>
  <sheetFormatPr defaultRowHeight="13.2" x14ac:dyDescent="0.25"/>
  <cols>
    <col min="2" max="2" width="29.6640625" customWidth="1"/>
    <col min="3" max="3" width="12.6640625" customWidth="1"/>
    <col min="4" max="4" width="14.33203125" style="77" customWidth="1"/>
    <col min="5" max="5" width="7.6640625" customWidth="1"/>
    <col min="6" max="6" width="8.6640625" customWidth="1"/>
    <col min="7" max="7" width="8.88671875" customWidth="1"/>
    <col min="8" max="9" width="10" customWidth="1"/>
    <col min="10" max="10" width="8.88671875" customWidth="1"/>
    <col min="11" max="11" width="11.33203125" customWidth="1"/>
    <col min="12" max="12" width="9.33203125" customWidth="1"/>
    <col min="13" max="13" width="10.109375" customWidth="1"/>
    <col min="14" max="14" width="12.5546875" customWidth="1"/>
    <col min="15" max="15" width="9.5546875" customWidth="1"/>
    <col min="16" max="16" width="9.88671875" customWidth="1"/>
    <col min="17" max="17" width="7.5546875" customWidth="1"/>
    <col min="19" max="19" width="9.88671875" customWidth="1"/>
    <col min="20" max="20" width="8.33203125" customWidth="1"/>
    <col min="21" max="21" width="10.33203125" customWidth="1"/>
    <col min="22" max="23" width="8.33203125" customWidth="1"/>
    <col min="24" max="24" width="9.109375" customWidth="1"/>
    <col min="25" max="25" width="9.33203125" customWidth="1"/>
    <col min="26" max="26" width="11" customWidth="1"/>
    <col min="27" max="27" width="10.33203125" customWidth="1"/>
    <col min="28" max="28" width="9.109375" customWidth="1"/>
    <col min="33" max="33" width="11.33203125" customWidth="1"/>
  </cols>
  <sheetData>
    <row r="2" spans="2:40" ht="13.8" thickBot="1" x14ac:dyDescent="0.3"/>
    <row r="3" spans="2:40" x14ac:dyDescent="0.25">
      <c r="F3" s="2018"/>
      <c r="G3" s="2019"/>
      <c r="H3" s="2019"/>
      <c r="I3" s="2019"/>
      <c r="J3" s="2020"/>
      <c r="K3" s="1999" t="str">
        <f>'2. T7 LAINAT'!F9</f>
        <v>Ennuste 1</v>
      </c>
      <c r="L3" s="2000"/>
      <c r="M3" s="2000"/>
      <c r="N3" s="2000"/>
      <c r="O3" s="2000"/>
      <c r="P3" s="2001"/>
      <c r="Q3" s="1999" t="str">
        <f>'2. T7 LAINAT'!I9</f>
        <v>Ennuste 2</v>
      </c>
      <c r="R3" s="2000"/>
      <c r="S3" s="2000"/>
      <c r="T3" s="2000"/>
      <c r="U3" s="2000"/>
      <c r="V3" s="2001"/>
      <c r="W3" s="1999" t="str">
        <f>'2. T7 LAINAT'!L9</f>
        <v>Ennuste 3</v>
      </c>
      <c r="X3" s="2000"/>
      <c r="Y3" s="2000"/>
      <c r="Z3" s="2000"/>
      <c r="AA3" s="2000"/>
      <c r="AB3" s="2001"/>
      <c r="AC3" s="1999" t="s">
        <v>22</v>
      </c>
      <c r="AD3" s="2000"/>
      <c r="AE3" s="2000"/>
      <c r="AF3" s="2000"/>
      <c r="AG3" s="2000"/>
      <c r="AH3" s="2001"/>
      <c r="AI3" s="1999" t="s">
        <v>301</v>
      </c>
      <c r="AJ3" s="2000"/>
      <c r="AK3" s="2000"/>
      <c r="AL3" s="2000"/>
      <c r="AM3" s="2000"/>
      <c r="AN3" s="2001"/>
    </row>
    <row r="4" spans="2:40" x14ac:dyDescent="0.25">
      <c r="F4" s="2015"/>
      <c r="G4" s="2016"/>
      <c r="H4" s="2016"/>
      <c r="I4" s="2016"/>
      <c r="J4" s="2017"/>
      <c r="K4" s="2002">
        <f>'2. T7 LAINAT'!F10</f>
        <v>2024</v>
      </c>
      <c r="L4" s="2003"/>
      <c r="M4" s="2003"/>
      <c r="N4" s="2003"/>
      <c r="O4" s="2003"/>
      <c r="P4" s="2004"/>
      <c r="Q4" s="2002">
        <f>'2. T7 LAINAT'!I10</f>
        <v>2025</v>
      </c>
      <c r="R4" s="2003"/>
      <c r="S4" s="2003"/>
      <c r="T4" s="2003"/>
      <c r="U4" s="2003"/>
      <c r="V4" s="2004"/>
      <c r="W4" s="2002">
        <f>'2. T7 LAINAT'!L10</f>
        <v>2026</v>
      </c>
      <c r="X4" s="2003"/>
      <c r="Y4" s="2003"/>
      <c r="Z4" s="2003"/>
      <c r="AA4" s="2003"/>
      <c r="AB4" s="2004"/>
      <c r="AC4" s="2002">
        <f>'2. T7 LAINAT'!O10</f>
        <v>2027</v>
      </c>
      <c r="AD4" s="2003"/>
      <c r="AE4" s="2003"/>
      <c r="AF4" s="2003"/>
      <c r="AG4" s="2003"/>
      <c r="AH4" s="2004"/>
      <c r="AI4" s="2002">
        <f>'2. T7 LAINAT'!O10+1</f>
        <v>2028</v>
      </c>
      <c r="AJ4" s="2003"/>
      <c r="AK4" s="2003"/>
      <c r="AL4" s="2003"/>
      <c r="AM4" s="2003"/>
      <c r="AN4" s="2004"/>
    </row>
    <row r="5" spans="2:40" x14ac:dyDescent="0.25">
      <c r="C5" s="2"/>
      <c r="D5" s="5" t="s">
        <v>302</v>
      </c>
      <c r="E5" s="2"/>
      <c r="F5" s="1765"/>
      <c r="G5" s="1766"/>
      <c r="H5" s="1766"/>
      <c r="I5" s="1766"/>
      <c r="J5" s="1694"/>
      <c r="K5" s="241"/>
      <c r="L5" s="242" t="s">
        <v>302</v>
      </c>
      <c r="M5" s="242"/>
      <c r="N5" s="242"/>
      <c r="O5" s="242"/>
      <c r="P5" s="243"/>
      <c r="Q5" s="241"/>
      <c r="R5" s="242" t="s">
        <v>302</v>
      </c>
      <c r="S5" s="242"/>
      <c r="T5" s="242"/>
      <c r="U5" s="242"/>
      <c r="V5" s="243"/>
      <c r="W5" s="241"/>
      <c r="X5" s="242" t="s">
        <v>302</v>
      </c>
      <c r="Y5" s="242"/>
      <c r="Z5" s="242"/>
      <c r="AA5" s="242"/>
      <c r="AB5" s="243"/>
      <c r="AC5" s="241"/>
      <c r="AD5" s="242" t="s">
        <v>302</v>
      </c>
      <c r="AE5" s="242"/>
      <c r="AF5" s="242"/>
      <c r="AG5" s="242"/>
      <c r="AH5" s="243"/>
      <c r="AI5" s="241"/>
      <c r="AJ5" s="242" t="s">
        <v>302</v>
      </c>
      <c r="AK5" s="242"/>
      <c r="AL5" s="242"/>
      <c r="AM5" s="242"/>
      <c r="AN5" s="243"/>
    </row>
    <row r="6" spans="2:40" x14ac:dyDescent="0.25">
      <c r="B6" s="535" t="s">
        <v>303</v>
      </c>
      <c r="C6" s="5" t="s">
        <v>304</v>
      </c>
      <c r="D6" s="5" t="s">
        <v>305</v>
      </c>
      <c r="E6" s="5" t="s">
        <v>306</v>
      </c>
      <c r="F6" s="1695"/>
      <c r="G6" s="1696"/>
      <c r="H6" s="1696"/>
      <c r="I6" s="1696"/>
      <c r="J6" s="1697"/>
      <c r="K6" s="83" t="s">
        <v>307</v>
      </c>
      <c r="L6" s="82" t="s">
        <v>308</v>
      </c>
      <c r="M6" s="79" t="s">
        <v>309</v>
      </c>
      <c r="N6" s="79" t="s">
        <v>310</v>
      </c>
      <c r="O6" s="79" t="s">
        <v>311</v>
      </c>
      <c r="P6" s="84" t="s">
        <v>306</v>
      </c>
      <c r="Q6" s="83" t="s">
        <v>307</v>
      </c>
      <c r="R6" s="82" t="s">
        <v>308</v>
      </c>
      <c r="S6" s="79" t="s">
        <v>309</v>
      </c>
      <c r="T6" s="79" t="s">
        <v>310</v>
      </c>
      <c r="U6" s="79" t="s">
        <v>311</v>
      </c>
      <c r="V6" s="84" t="s">
        <v>306</v>
      </c>
      <c r="W6" s="83" t="s">
        <v>307</v>
      </c>
      <c r="X6" s="82" t="s">
        <v>308</v>
      </c>
      <c r="Y6" s="79" t="s">
        <v>309</v>
      </c>
      <c r="Z6" s="79" t="s">
        <v>310</v>
      </c>
      <c r="AA6" s="79" t="s">
        <v>311</v>
      </c>
      <c r="AB6" s="84" t="s">
        <v>306</v>
      </c>
      <c r="AC6" s="83" t="s">
        <v>307</v>
      </c>
      <c r="AD6" s="82" t="s">
        <v>308</v>
      </c>
      <c r="AE6" s="79" t="s">
        <v>309</v>
      </c>
      <c r="AF6" s="79" t="s">
        <v>310</v>
      </c>
      <c r="AG6" s="79" t="s">
        <v>311</v>
      </c>
      <c r="AH6" s="84" t="s">
        <v>306</v>
      </c>
      <c r="AI6" s="83" t="s">
        <v>307</v>
      </c>
      <c r="AJ6" s="82" t="s">
        <v>308</v>
      </c>
      <c r="AK6" s="79" t="s">
        <v>309</v>
      </c>
      <c r="AL6" s="79" t="s">
        <v>310</v>
      </c>
      <c r="AM6" s="79" t="s">
        <v>311</v>
      </c>
      <c r="AN6" s="84" t="s">
        <v>306</v>
      </c>
    </row>
    <row r="7" spans="2:40" ht="13.8" thickBot="1" x14ac:dyDescent="0.3">
      <c r="B7" s="2" t="s">
        <v>312</v>
      </c>
      <c r="C7" s="588"/>
      <c r="D7" s="588"/>
      <c r="E7" s="588"/>
      <c r="F7" s="1695"/>
      <c r="G7" s="1696"/>
      <c r="H7" s="1696"/>
      <c r="I7" s="1696"/>
      <c r="J7" s="1697"/>
      <c r="K7" s="83"/>
      <c r="L7" s="82"/>
      <c r="M7" s="79"/>
      <c r="N7" s="79"/>
      <c r="O7" s="79"/>
      <c r="P7" s="84"/>
      <c r="Q7" s="83"/>
      <c r="R7" s="82"/>
      <c r="S7" s="79"/>
      <c r="T7" s="79"/>
      <c r="U7" s="79"/>
      <c r="V7" s="84"/>
      <c r="W7" s="83"/>
      <c r="X7" s="82"/>
      <c r="Y7" s="79"/>
      <c r="Z7" s="79"/>
      <c r="AA7" s="79"/>
      <c r="AB7" s="84"/>
      <c r="AC7" s="83"/>
      <c r="AD7" s="82"/>
      <c r="AE7" s="177" t="s">
        <v>3</v>
      </c>
      <c r="AF7" s="79"/>
      <c r="AG7" s="79"/>
      <c r="AH7" s="84"/>
      <c r="AI7" s="83"/>
      <c r="AJ7" s="82"/>
      <c r="AK7" s="177" t="s">
        <v>3</v>
      </c>
      <c r="AL7" s="79"/>
      <c r="AM7" s="79"/>
      <c r="AN7" s="84"/>
    </row>
    <row r="8" spans="2:40" x14ac:dyDescent="0.25">
      <c r="B8" s="766" t="str">
        <f>'2. T7 LAINAT'!B13</f>
        <v xml:space="preserve"> Laina, 1. ennustevuosi</v>
      </c>
      <c r="C8" s="767">
        <f>'2. T7 LAINAT'!C13</f>
        <v>0</v>
      </c>
      <c r="D8" s="768">
        <f>'2. T7 LAINAT'!D13</f>
        <v>0</v>
      </c>
      <c r="E8" s="769">
        <f>'2. T7 LAINAT'!E13</f>
        <v>0</v>
      </c>
      <c r="F8" s="1698"/>
      <c r="G8" s="1699"/>
      <c r="H8" s="1699"/>
      <c r="I8" s="1699"/>
      <c r="J8" s="1700"/>
      <c r="K8" s="770">
        <f>'2. T7 LAINAT'!F13</f>
        <v>0</v>
      </c>
      <c r="L8" s="773">
        <f>IF(I8&gt;0,IF(D8-1&gt;0,D8-1,D8),D8)</f>
        <v>0</v>
      </c>
      <c r="M8" s="771">
        <f>'2. T7 LAINAT'!G13</f>
        <v>0</v>
      </c>
      <c r="N8" s="771">
        <f>F8-G8+K8-M8/4</f>
        <v>0</v>
      </c>
      <c r="O8" s="771">
        <f>K8-M8</f>
        <v>0</v>
      </c>
      <c r="P8" s="772">
        <f>IF($E8*N8&lt;0,0,N8*$E8)</f>
        <v>0</v>
      </c>
      <c r="Q8" s="774">
        <f>'2. T7 LAINAT'!I13</f>
        <v>0</v>
      </c>
      <c r="R8" s="773">
        <f>IF(F8=0,IF(K8=0,L8,$D8-1),$D8-2)</f>
        <v>0</v>
      </c>
      <c r="S8" s="771">
        <f>'2. T7 LAINAT'!J13</f>
        <v>0</v>
      </c>
      <c r="T8" s="771">
        <f>O8+Q8-S8/4</f>
        <v>0</v>
      </c>
      <c r="U8" s="771">
        <f t="shared" ref="U8:U14" si="0">O8+Q8-S8</f>
        <v>0</v>
      </c>
      <c r="V8" s="772">
        <f t="shared" ref="V8:V14" si="1">IF($E8*T8&lt;0,0,T8*$E8)</f>
        <v>0</v>
      </c>
      <c r="W8" s="774">
        <f>'2. T7 LAINAT'!L13</f>
        <v>0</v>
      </c>
      <c r="X8" s="773">
        <f t="shared" ref="X8:X15" si="2">IF(R8-1&gt;0,R8-1,0)</f>
        <v>0</v>
      </c>
      <c r="Y8" s="771">
        <f>'2. T7 LAINAT'!M13</f>
        <v>0</v>
      </c>
      <c r="Z8" s="771">
        <f>(U8+W8-Y8/4)</f>
        <v>0</v>
      </c>
      <c r="AA8" s="771">
        <f t="shared" ref="AA8:AA16" si="3">U8+W8-Y8</f>
        <v>0</v>
      </c>
      <c r="AB8" s="772">
        <f t="shared" ref="AB8:AB16" si="4">IF($E8*Z8&lt;0,0,Z8*$E8)</f>
        <v>0</v>
      </c>
      <c r="AC8" s="774">
        <f>'2. T7 LAINAT'!O13</f>
        <v>0</v>
      </c>
      <c r="AD8" s="773">
        <f t="shared" ref="AD8:AD19" si="5">IF(X8-1&gt;0,X8-1,0)</f>
        <v>0</v>
      </c>
      <c r="AE8" s="775">
        <f>'2. T7 LAINAT'!P13</f>
        <v>0</v>
      </c>
      <c r="AF8" s="771">
        <f>(AA8+AC8-AE8/4)</f>
        <v>0</v>
      </c>
      <c r="AG8" s="771">
        <f t="shared" ref="AG8:AG21" si="6">AA8+AC8-AE8</f>
        <v>0</v>
      </c>
      <c r="AH8" s="772">
        <f t="shared" ref="AH8:AH21" si="7">IF($E8*AF8&lt;0,0,AF8*$E8)</f>
        <v>0</v>
      </c>
      <c r="AI8" s="774">
        <v>0</v>
      </c>
      <c r="AJ8" s="773">
        <f t="shared" ref="AJ8:AJ23" si="8">IF(AD8-1&gt;0,AD8-1,0)</f>
        <v>0</v>
      </c>
      <c r="AK8" s="775">
        <f>IF(D8=0,0,IF(C8-S8-Y8-AE8-M8&lt;=0,0,'AT2 Lainat, alv'!AE8))</f>
        <v>0</v>
      </c>
      <c r="AL8" s="771">
        <f>(AG8+AI8-AK8/4)</f>
        <v>0</v>
      </c>
      <c r="AM8" s="771">
        <f t="shared" ref="AM8:AM22" si="9">AG8+AI8-AK8</f>
        <v>0</v>
      </c>
      <c r="AN8" s="772">
        <f t="shared" ref="AN8:AN22" si="10">IF($E8*AL8&lt;0,0,AL8*$E8)</f>
        <v>0</v>
      </c>
    </row>
    <row r="9" spans="2:40" x14ac:dyDescent="0.25">
      <c r="B9" s="776">
        <f>'2. T7 LAINAT'!B14</f>
        <v>0</v>
      </c>
      <c r="C9" s="80">
        <f>'2. T7 LAINAT'!C14</f>
        <v>0</v>
      </c>
      <c r="D9" s="87">
        <f>'2. T7 LAINAT'!D14</f>
        <v>0</v>
      </c>
      <c r="E9" s="81">
        <f>'2. T7 LAINAT'!E14</f>
        <v>0</v>
      </c>
      <c r="F9" s="1701"/>
      <c r="G9" s="1702"/>
      <c r="H9" s="1702"/>
      <c r="I9" s="1702"/>
      <c r="J9" s="1703"/>
      <c r="K9" s="179">
        <f>'2. T7 LAINAT'!F14</f>
        <v>0</v>
      </c>
      <c r="L9" s="180">
        <f>IF(I9&gt;0,IF(D9-1&gt;0,D9-1,D9),D9)</f>
        <v>0</v>
      </c>
      <c r="M9" s="171">
        <f>'2. T7 LAINAT'!G14</f>
        <v>0</v>
      </c>
      <c r="N9" s="171">
        <f>F9-G9+K9-M9/4</f>
        <v>0</v>
      </c>
      <c r="O9" s="171">
        <f>K9-M9</f>
        <v>0</v>
      </c>
      <c r="P9" s="142">
        <f>IF($E9*N9&lt;0,0,N9*$E9)</f>
        <v>0</v>
      </c>
      <c r="Q9" s="143">
        <f>'2. T7 LAINAT'!I14</f>
        <v>0</v>
      </c>
      <c r="R9" s="180">
        <f>IF(F9=0,IF(K9=0,L9,$D9-1),$D9-2)</f>
        <v>0</v>
      </c>
      <c r="S9" s="171">
        <f>'2. T7 LAINAT'!J14</f>
        <v>0</v>
      </c>
      <c r="T9" s="171">
        <f t="shared" ref="T9:T15" si="11">O9+Q9-S9/4</f>
        <v>0</v>
      </c>
      <c r="U9" s="171">
        <f t="shared" si="0"/>
        <v>0</v>
      </c>
      <c r="V9" s="142">
        <f t="shared" si="1"/>
        <v>0</v>
      </c>
      <c r="W9" s="143">
        <f>'2. T7 LAINAT'!L14</f>
        <v>0</v>
      </c>
      <c r="X9" s="180">
        <f t="shared" si="2"/>
        <v>0</v>
      </c>
      <c r="Y9" s="171">
        <f>'2. T7 LAINAT'!M14</f>
        <v>0</v>
      </c>
      <c r="Z9" s="171">
        <f t="shared" ref="Z9:Z19" si="12">(U9+W9-Y9/4)</f>
        <v>0</v>
      </c>
      <c r="AA9" s="171">
        <f>U9+W9-Y9</f>
        <v>0</v>
      </c>
      <c r="AB9" s="142">
        <f>IF($E9*Z9&lt;0,0,Z9*$E9)</f>
        <v>0</v>
      </c>
      <c r="AC9" s="143">
        <f>'2. T7 LAINAT'!O14</f>
        <v>0</v>
      </c>
      <c r="AD9" s="180">
        <f t="shared" si="5"/>
        <v>0</v>
      </c>
      <c r="AE9" s="177">
        <f>'2. T7 LAINAT'!P14</f>
        <v>0</v>
      </c>
      <c r="AF9" s="171">
        <f t="shared" ref="AF9:AF23" si="13">(AA9+AC9-AE9/4)</f>
        <v>0</v>
      </c>
      <c r="AG9" s="171">
        <f t="shared" si="6"/>
        <v>0</v>
      </c>
      <c r="AH9" s="142">
        <f t="shared" si="7"/>
        <v>0</v>
      </c>
      <c r="AI9" s="143">
        <v>0</v>
      </c>
      <c r="AJ9" s="180">
        <f t="shared" si="8"/>
        <v>0</v>
      </c>
      <c r="AK9" s="177">
        <f>IF(D9=0,0,IF(C9-S9-Y9-AE9-M9&lt;=0,0,'AT2 Lainat, alv'!AE9))</f>
        <v>0</v>
      </c>
      <c r="AL9" s="171">
        <f t="shared" ref="AL9:AL23" si="14">(AG9+AI9-AK9/4)</f>
        <v>0</v>
      </c>
      <c r="AM9" s="171">
        <f t="shared" si="9"/>
        <v>0</v>
      </c>
      <c r="AN9" s="142">
        <f t="shared" si="10"/>
        <v>0</v>
      </c>
    </row>
    <row r="10" spans="2:40" x14ac:dyDescent="0.25">
      <c r="B10" s="776">
        <f>'2. T7 LAINAT'!B15</f>
        <v>0</v>
      </c>
      <c r="C10" s="80">
        <f>'2. T7 LAINAT'!C15</f>
        <v>0</v>
      </c>
      <c r="D10" s="87">
        <f>'2. T7 LAINAT'!D15</f>
        <v>0</v>
      </c>
      <c r="E10" s="81">
        <f>'2. T7 LAINAT'!E15</f>
        <v>0</v>
      </c>
      <c r="F10" s="1701"/>
      <c r="G10" s="1702"/>
      <c r="H10" s="1702"/>
      <c r="I10" s="1702"/>
      <c r="J10" s="1703"/>
      <c r="K10" s="179">
        <f>'2. T7 LAINAT'!F15</f>
        <v>0</v>
      </c>
      <c r="L10" s="180">
        <f>IF(I10&gt;0,IF(D10-1&gt;0,D10-1,D10),D10)</f>
        <v>0</v>
      </c>
      <c r="M10" s="171">
        <f>'2. T7 LAINAT'!G15</f>
        <v>0</v>
      </c>
      <c r="N10" s="171">
        <f>F10-G10+K10-M10/4</f>
        <v>0</v>
      </c>
      <c r="O10" s="171">
        <f>K10-M10</f>
        <v>0</v>
      </c>
      <c r="P10" s="142">
        <f>IF($E10*N10&lt;0,0,N10*$E10)</f>
        <v>0</v>
      </c>
      <c r="Q10" s="143">
        <f>'2. T7 LAINAT'!I15</f>
        <v>0</v>
      </c>
      <c r="R10" s="180">
        <f>IF(F10=0,IF(K10=0,L10,$D10-1),$D10-2)</f>
        <v>0</v>
      </c>
      <c r="S10" s="171">
        <f>'2. T7 LAINAT'!J15</f>
        <v>0</v>
      </c>
      <c r="T10" s="171">
        <f t="shared" si="11"/>
        <v>0</v>
      </c>
      <c r="U10" s="171">
        <f t="shared" si="0"/>
        <v>0</v>
      </c>
      <c r="V10" s="142">
        <f t="shared" si="1"/>
        <v>0</v>
      </c>
      <c r="W10" s="143">
        <f>'2. T7 LAINAT'!L15</f>
        <v>0</v>
      </c>
      <c r="X10" s="180">
        <f t="shared" si="2"/>
        <v>0</v>
      </c>
      <c r="Y10" s="171">
        <f>'2. T7 LAINAT'!M15</f>
        <v>0</v>
      </c>
      <c r="Z10" s="171">
        <f t="shared" si="12"/>
        <v>0</v>
      </c>
      <c r="AA10" s="171">
        <f>U10+W10-Y10</f>
        <v>0</v>
      </c>
      <c r="AB10" s="142">
        <f>IF($E10*Z10&lt;0,0,Z10*$E10)</f>
        <v>0</v>
      </c>
      <c r="AC10" s="143">
        <f>'2. T7 LAINAT'!O15</f>
        <v>0</v>
      </c>
      <c r="AD10" s="180">
        <f t="shared" si="5"/>
        <v>0</v>
      </c>
      <c r="AE10" s="177">
        <f>'2. T7 LAINAT'!P15</f>
        <v>0</v>
      </c>
      <c r="AF10" s="171">
        <f t="shared" si="13"/>
        <v>0</v>
      </c>
      <c r="AG10" s="171">
        <f t="shared" si="6"/>
        <v>0</v>
      </c>
      <c r="AH10" s="142">
        <f t="shared" si="7"/>
        <v>0</v>
      </c>
      <c r="AI10" s="143">
        <v>0</v>
      </c>
      <c r="AJ10" s="180">
        <f t="shared" si="8"/>
        <v>0</v>
      </c>
      <c r="AK10" s="177">
        <f>IF(D10=0,0,IF(C10-S10-Y10-AE10-M10&lt;=0,0,'AT2 Lainat, alv'!AE10))</f>
        <v>0</v>
      </c>
      <c r="AL10" s="171">
        <f t="shared" si="14"/>
        <v>0</v>
      </c>
      <c r="AM10" s="171">
        <f t="shared" si="9"/>
        <v>0</v>
      </c>
      <c r="AN10" s="142">
        <f t="shared" si="10"/>
        <v>0</v>
      </c>
    </row>
    <row r="11" spans="2:40" ht="13.8" thickBot="1" x14ac:dyDescent="0.3">
      <c r="B11" s="777">
        <f>'2. T7 LAINAT'!B16</f>
        <v>0</v>
      </c>
      <c r="C11" s="778">
        <f>'2. T7 LAINAT'!C16</f>
        <v>0</v>
      </c>
      <c r="D11" s="779">
        <f>'2. T7 LAINAT'!D16</f>
        <v>0</v>
      </c>
      <c r="E11" s="780">
        <f>'2. T7 LAINAT'!E16</f>
        <v>0</v>
      </c>
      <c r="F11" s="1704"/>
      <c r="G11" s="1705"/>
      <c r="H11" s="1705"/>
      <c r="I11" s="1705"/>
      <c r="J11" s="1706"/>
      <c r="K11" s="781">
        <f>'2. T7 LAINAT'!F16</f>
        <v>0</v>
      </c>
      <c r="L11" s="784">
        <f>IF(I11&gt;0,IF(D11-1&gt;0,D11-1,D11),D11)</f>
        <v>0</v>
      </c>
      <c r="M11" s="782">
        <f>'2. T7 LAINAT'!G16</f>
        <v>0</v>
      </c>
      <c r="N11" s="782">
        <f>F11-G11+K11-M11/4</f>
        <v>0</v>
      </c>
      <c r="O11" s="782">
        <f>K11-M11</f>
        <v>0</v>
      </c>
      <c r="P11" s="783">
        <f>IF($E11*N11&lt;0,0,N11*$E11)</f>
        <v>0</v>
      </c>
      <c r="Q11" s="785">
        <f>'2. T7 LAINAT'!I16</f>
        <v>0</v>
      </c>
      <c r="R11" s="784">
        <f>IF(F11=0,IF(K11=0,L11,$D11-1),$D11-2)</f>
        <v>0</v>
      </c>
      <c r="S11" s="782">
        <f>'2. T7 LAINAT'!J16</f>
        <v>0</v>
      </c>
      <c r="T11" s="782">
        <f t="shared" si="11"/>
        <v>0</v>
      </c>
      <c r="U11" s="782">
        <f>O11+Q11-S11</f>
        <v>0</v>
      </c>
      <c r="V11" s="783">
        <f>IF($E11*T11&lt;0,0,T11*$E11)</f>
        <v>0</v>
      </c>
      <c r="W11" s="785">
        <f>'2. T7 LAINAT'!L16</f>
        <v>0</v>
      </c>
      <c r="X11" s="784">
        <f t="shared" si="2"/>
        <v>0</v>
      </c>
      <c r="Y11" s="782">
        <f>'2. T7 LAINAT'!M16</f>
        <v>0</v>
      </c>
      <c r="Z11" s="782">
        <f t="shared" si="12"/>
        <v>0</v>
      </c>
      <c r="AA11" s="782">
        <f>U11+W11-Y11</f>
        <v>0</v>
      </c>
      <c r="AB11" s="783">
        <f>IF($E11*Z11&lt;0,0,Z11*$E11)</f>
        <v>0</v>
      </c>
      <c r="AC11" s="785">
        <f>'2. T7 LAINAT'!O16</f>
        <v>0</v>
      </c>
      <c r="AD11" s="784">
        <f>IF(X11-1&gt;0,X11-1,0)</f>
        <v>0</v>
      </c>
      <c r="AE11" s="610">
        <f>'2. T7 LAINAT'!P16</f>
        <v>0</v>
      </c>
      <c r="AF11" s="782">
        <f t="shared" si="13"/>
        <v>0</v>
      </c>
      <c r="AG11" s="782">
        <f>AA11+AC11-AE11</f>
        <v>0</v>
      </c>
      <c r="AH11" s="783">
        <f>IF($E11*AF11&lt;0,0,AF11*$E11)</f>
        <v>0</v>
      </c>
      <c r="AI11" s="785">
        <v>0</v>
      </c>
      <c r="AJ11" s="784">
        <f>IF(AD11-1&gt;0,AD11-1,0)</f>
        <v>0</v>
      </c>
      <c r="AK11" s="610">
        <f>IF(D11=0,0,IF(C11-S11-Y11-AE11-M11&lt;=0,0,'AT2 Lainat, alv'!AE11))</f>
        <v>0</v>
      </c>
      <c r="AL11" s="782">
        <f t="shared" si="14"/>
        <v>0</v>
      </c>
      <c r="AM11" s="782">
        <f>AG11+AI11-AK11</f>
        <v>0</v>
      </c>
      <c r="AN11" s="783">
        <f>IF($E11*AL11&lt;0,0,AL11*$E11)</f>
        <v>0</v>
      </c>
    </row>
    <row r="12" spans="2:40" x14ac:dyDescent="0.25">
      <c r="B12" s="756">
        <f>'2. T7 LAINAT'!B18</f>
        <v>0</v>
      </c>
      <c r="C12" s="757">
        <f>'2. T7 LAINAT'!C18</f>
        <v>0</v>
      </c>
      <c r="D12" s="758">
        <f>'2. T7 LAINAT'!D18</f>
        <v>0</v>
      </c>
      <c r="E12" s="759">
        <f>'2. T7 LAINAT'!E18</f>
        <v>0</v>
      </c>
      <c r="F12" s="1707"/>
      <c r="G12" s="1708"/>
      <c r="H12" s="1708"/>
      <c r="I12" s="1708"/>
      <c r="J12" s="1709"/>
      <c r="K12" s="760"/>
      <c r="L12" s="763"/>
      <c r="M12" s="761"/>
      <c r="N12" s="761"/>
      <c r="O12" s="761"/>
      <c r="P12" s="762"/>
      <c r="Q12" s="764">
        <f>'2. T7 LAINAT'!I18</f>
        <v>0</v>
      </c>
      <c r="R12" s="763">
        <f>IF(D12&gt;0,D12,0)</f>
        <v>0</v>
      </c>
      <c r="S12" s="761">
        <f>'2. T7 LAINAT'!J18</f>
        <v>0</v>
      </c>
      <c r="T12" s="761">
        <f t="shared" si="11"/>
        <v>0</v>
      </c>
      <c r="U12" s="761">
        <f t="shared" si="0"/>
        <v>0</v>
      </c>
      <c r="V12" s="762">
        <f t="shared" si="1"/>
        <v>0</v>
      </c>
      <c r="W12" s="764">
        <f>'2. T7 LAINAT'!L18</f>
        <v>0</v>
      </c>
      <c r="X12" s="763">
        <f t="shared" si="2"/>
        <v>0</v>
      </c>
      <c r="Y12" s="761">
        <f>'2. T7 LAINAT'!M18</f>
        <v>0</v>
      </c>
      <c r="Z12" s="761">
        <f t="shared" si="12"/>
        <v>0</v>
      </c>
      <c r="AA12" s="761">
        <f t="shared" si="3"/>
        <v>0</v>
      </c>
      <c r="AB12" s="762">
        <f t="shared" si="4"/>
        <v>0</v>
      </c>
      <c r="AC12" s="764">
        <f>'2. T7 LAINAT'!O18</f>
        <v>0</v>
      </c>
      <c r="AD12" s="763">
        <f>IF(X12-1&gt;0,X12-1,0)</f>
        <v>0</v>
      </c>
      <c r="AE12" s="765">
        <f>'2. T7 LAINAT'!P18</f>
        <v>0</v>
      </c>
      <c r="AF12" s="761">
        <f t="shared" si="13"/>
        <v>0</v>
      </c>
      <c r="AG12" s="761">
        <f t="shared" si="6"/>
        <v>0</v>
      </c>
      <c r="AH12" s="762">
        <f t="shared" si="7"/>
        <v>0</v>
      </c>
      <c r="AI12" s="764">
        <v>0</v>
      </c>
      <c r="AJ12" s="763">
        <f t="shared" si="8"/>
        <v>0</v>
      </c>
      <c r="AK12" s="765">
        <f>IF(D12=0,0,IF(C12-S12-Y12-AE12-M12&lt;=0,0,'AT2 Lainat, alv'!AE12))</f>
        <v>0</v>
      </c>
      <c r="AL12" s="761">
        <f t="shared" si="14"/>
        <v>0</v>
      </c>
      <c r="AM12" s="761">
        <f t="shared" si="9"/>
        <v>0</v>
      </c>
      <c r="AN12" s="761">
        <f t="shared" si="10"/>
        <v>0</v>
      </c>
    </row>
    <row r="13" spans="2:40" x14ac:dyDescent="0.25">
      <c r="B13" s="75">
        <f>'2. T7 LAINAT'!B19</f>
        <v>0</v>
      </c>
      <c r="C13" s="80">
        <f>'2. T7 LAINAT'!C19</f>
        <v>0</v>
      </c>
      <c r="D13" s="87">
        <f>'2. T7 LAINAT'!D19</f>
        <v>0</v>
      </c>
      <c r="E13" s="81">
        <f>'2. T7 LAINAT'!E19</f>
        <v>0</v>
      </c>
      <c r="F13" s="1701"/>
      <c r="G13" s="1702"/>
      <c r="H13" s="1702"/>
      <c r="I13" s="1702"/>
      <c r="J13" s="1703"/>
      <c r="K13" s="179"/>
      <c r="L13" s="180"/>
      <c r="M13" s="171"/>
      <c r="N13" s="171"/>
      <c r="O13" s="171"/>
      <c r="P13" s="142"/>
      <c r="Q13" s="143">
        <f>'2. T7 LAINAT'!I19</f>
        <v>0</v>
      </c>
      <c r="R13" s="180">
        <f>IF(D13&gt;0,D13,0)</f>
        <v>0</v>
      </c>
      <c r="S13" s="171">
        <f>'2. T7 LAINAT'!J19</f>
        <v>0</v>
      </c>
      <c r="T13" s="171">
        <f t="shared" si="11"/>
        <v>0</v>
      </c>
      <c r="U13" s="171">
        <f t="shared" si="0"/>
        <v>0</v>
      </c>
      <c r="V13" s="142">
        <f t="shared" si="1"/>
        <v>0</v>
      </c>
      <c r="W13" s="143">
        <f>'2. T7 LAINAT'!L19</f>
        <v>0</v>
      </c>
      <c r="X13" s="180">
        <f t="shared" si="2"/>
        <v>0</v>
      </c>
      <c r="Y13" s="171">
        <f>'2. T7 LAINAT'!M19</f>
        <v>0</v>
      </c>
      <c r="Z13" s="171">
        <f t="shared" si="12"/>
        <v>0</v>
      </c>
      <c r="AA13" s="171">
        <f>U13+W13-Y13</f>
        <v>0</v>
      </c>
      <c r="AB13" s="142">
        <f>IF($E13*Z13&lt;0,0,Z13*$E13)</f>
        <v>0</v>
      </c>
      <c r="AC13" s="143">
        <f>'2. T7 LAINAT'!O19</f>
        <v>0</v>
      </c>
      <c r="AD13" s="180">
        <f>IF(X13-1&gt;0,X13-1,0)</f>
        <v>0</v>
      </c>
      <c r="AE13" s="177">
        <f>'2. T7 LAINAT'!P19</f>
        <v>0</v>
      </c>
      <c r="AF13" s="171">
        <f t="shared" si="13"/>
        <v>0</v>
      </c>
      <c r="AG13" s="171">
        <f t="shared" si="6"/>
        <v>0</v>
      </c>
      <c r="AH13" s="142">
        <f t="shared" si="7"/>
        <v>0</v>
      </c>
      <c r="AI13" s="143">
        <v>0</v>
      </c>
      <c r="AJ13" s="180">
        <f t="shared" si="8"/>
        <v>0</v>
      </c>
      <c r="AK13" s="177">
        <f>IF(D13=0,0,IF(C13-S13-Y13-AE13-M13&lt;=0,0,'AT2 Lainat, alv'!AE13))</f>
        <v>0</v>
      </c>
      <c r="AL13" s="171">
        <f t="shared" si="14"/>
        <v>0</v>
      </c>
      <c r="AM13" s="171">
        <f t="shared" si="9"/>
        <v>0</v>
      </c>
      <c r="AN13" s="171">
        <f t="shared" si="10"/>
        <v>0</v>
      </c>
    </row>
    <row r="14" spans="2:40" x14ac:dyDescent="0.25">
      <c r="B14" s="75">
        <f>'2. T7 LAINAT'!B20</f>
        <v>0</v>
      </c>
      <c r="C14" s="80">
        <f>'2. T7 LAINAT'!C20</f>
        <v>0</v>
      </c>
      <c r="D14" s="87">
        <f>'2. T7 LAINAT'!D20</f>
        <v>0</v>
      </c>
      <c r="E14" s="81">
        <f>'2. T7 LAINAT'!E20</f>
        <v>0</v>
      </c>
      <c r="F14" s="1701"/>
      <c r="G14" s="1702"/>
      <c r="H14" s="1702"/>
      <c r="I14" s="1702"/>
      <c r="J14" s="1703"/>
      <c r="K14" s="179"/>
      <c r="L14" s="180"/>
      <c r="M14" s="171"/>
      <c r="N14" s="171"/>
      <c r="O14" s="171"/>
      <c r="P14" s="142"/>
      <c r="Q14" s="143">
        <f>'2. T7 LAINAT'!I20</f>
        <v>0</v>
      </c>
      <c r="R14" s="180">
        <f>IF(D14&gt;0,D14,0)</f>
        <v>0</v>
      </c>
      <c r="S14" s="171">
        <f>'2. T7 LAINAT'!J20</f>
        <v>0</v>
      </c>
      <c r="T14" s="171">
        <f t="shared" si="11"/>
        <v>0</v>
      </c>
      <c r="U14" s="171">
        <f t="shared" si="0"/>
        <v>0</v>
      </c>
      <c r="V14" s="142">
        <f t="shared" si="1"/>
        <v>0</v>
      </c>
      <c r="W14" s="143">
        <f>'2. T7 LAINAT'!L20</f>
        <v>0</v>
      </c>
      <c r="X14" s="180">
        <f t="shared" si="2"/>
        <v>0</v>
      </c>
      <c r="Y14" s="171">
        <f>'2. T7 LAINAT'!M20</f>
        <v>0</v>
      </c>
      <c r="Z14" s="171">
        <f t="shared" si="12"/>
        <v>0</v>
      </c>
      <c r="AA14" s="171">
        <f t="shared" si="3"/>
        <v>0</v>
      </c>
      <c r="AB14" s="142">
        <f t="shared" si="4"/>
        <v>0</v>
      </c>
      <c r="AC14" s="143">
        <f>'2. T7 LAINAT'!O20</f>
        <v>0</v>
      </c>
      <c r="AD14" s="180">
        <f>IF(X14-1&gt;0,X14-1,0)</f>
        <v>0</v>
      </c>
      <c r="AE14" s="177">
        <f>'2. T7 LAINAT'!P20</f>
        <v>0</v>
      </c>
      <c r="AF14" s="171">
        <f t="shared" si="13"/>
        <v>0</v>
      </c>
      <c r="AG14" s="171">
        <f t="shared" si="6"/>
        <v>0</v>
      </c>
      <c r="AH14" s="142">
        <f t="shared" si="7"/>
        <v>0</v>
      </c>
      <c r="AI14" s="143">
        <v>0</v>
      </c>
      <c r="AJ14" s="180">
        <f t="shared" si="8"/>
        <v>0</v>
      </c>
      <c r="AK14" s="177">
        <f>IF(D14=0,0,IF(C14-S14-Y14-AE14-M14&lt;=0,0,'AT2 Lainat, alv'!AE14))</f>
        <v>0</v>
      </c>
      <c r="AL14" s="171">
        <f t="shared" si="14"/>
        <v>0</v>
      </c>
      <c r="AM14" s="171">
        <f t="shared" si="9"/>
        <v>0</v>
      </c>
      <c r="AN14" s="171">
        <f t="shared" si="10"/>
        <v>0</v>
      </c>
    </row>
    <row r="15" spans="2:40" ht="13.8" thickBot="1" x14ac:dyDescent="0.3">
      <c r="B15" s="786">
        <f>'2. T7 LAINAT'!B21</f>
        <v>0</v>
      </c>
      <c r="C15" s="787">
        <f>'2. T7 LAINAT'!C21</f>
        <v>0</v>
      </c>
      <c r="D15" s="788">
        <f>'2. T7 LAINAT'!D21</f>
        <v>0</v>
      </c>
      <c r="E15" s="789">
        <f>'2. T7 LAINAT'!E21</f>
        <v>0</v>
      </c>
      <c r="F15" s="1710"/>
      <c r="G15" s="1711"/>
      <c r="H15" s="1711"/>
      <c r="I15" s="1711"/>
      <c r="J15" s="1712"/>
      <c r="K15" s="790"/>
      <c r="L15" s="793"/>
      <c r="M15" s="791"/>
      <c r="N15" s="791"/>
      <c r="O15" s="791"/>
      <c r="P15" s="792"/>
      <c r="Q15" s="794">
        <f>'2. T7 LAINAT'!I21</f>
        <v>0</v>
      </c>
      <c r="R15" s="793">
        <f>IF(D15&gt;0,D15,0)</f>
        <v>0</v>
      </c>
      <c r="S15" s="791">
        <f>'2. T7 LAINAT'!J21</f>
        <v>0</v>
      </c>
      <c r="T15" s="791">
        <f t="shared" si="11"/>
        <v>0</v>
      </c>
      <c r="U15" s="791">
        <f>O15+Q15-S15</f>
        <v>0</v>
      </c>
      <c r="V15" s="792">
        <f>IF($E15*T15&lt;0,0,T15*$E15)</f>
        <v>0</v>
      </c>
      <c r="W15" s="143">
        <f>'2. T7 LAINAT'!L21</f>
        <v>0</v>
      </c>
      <c r="X15" s="793">
        <f t="shared" si="2"/>
        <v>0</v>
      </c>
      <c r="Y15" s="791">
        <f>'2. T7 LAINAT'!M21</f>
        <v>0</v>
      </c>
      <c r="Z15" s="791">
        <f t="shared" si="12"/>
        <v>0</v>
      </c>
      <c r="AA15" s="791">
        <f>U15+W15-Y15</f>
        <v>0</v>
      </c>
      <c r="AB15" s="792">
        <f>IF($E15*Z15&lt;0,0,Z15*$E15)</f>
        <v>0</v>
      </c>
      <c r="AC15" s="794">
        <f>'2. T7 LAINAT'!O21</f>
        <v>0</v>
      </c>
      <c r="AD15" s="793">
        <f>IF(X15-1&gt;0,X15-1,0)</f>
        <v>0</v>
      </c>
      <c r="AE15" s="177">
        <f>'2. T7 LAINAT'!P21</f>
        <v>0</v>
      </c>
      <c r="AF15" s="791">
        <f t="shared" si="13"/>
        <v>0</v>
      </c>
      <c r="AG15" s="791">
        <f>AA15+AC15-AE15</f>
        <v>0</v>
      </c>
      <c r="AH15" s="792">
        <f>IF($E15*AF15&lt;0,0,AF15*$E15)</f>
        <v>0</v>
      </c>
      <c r="AI15" s="794"/>
      <c r="AJ15" s="793">
        <f t="shared" si="8"/>
        <v>0</v>
      </c>
      <c r="AK15" s="177">
        <f>IF(D15=0,0,IF(C15-S15-Y15-AE15-M15&lt;=0,0,'AT2 Lainat, alv'!AE15))</f>
        <v>0</v>
      </c>
      <c r="AL15" s="791">
        <f t="shared" si="14"/>
        <v>0</v>
      </c>
      <c r="AM15" s="791">
        <f>AG15+AI15-AK15</f>
        <v>0</v>
      </c>
      <c r="AN15" s="791">
        <f>IF($E15*AL15&lt;0,0,AL15*$E15)</f>
        <v>0</v>
      </c>
    </row>
    <row r="16" spans="2:40" x14ac:dyDescent="0.25">
      <c r="B16" s="766">
        <f>'2. T7 LAINAT'!B23</f>
        <v>0</v>
      </c>
      <c r="C16" s="767">
        <f>'2. T7 LAINAT'!C23</f>
        <v>0</v>
      </c>
      <c r="D16" s="768">
        <f>'2. T7 LAINAT'!D23</f>
        <v>0</v>
      </c>
      <c r="E16" s="769">
        <f>'2. T7 LAINAT'!E23</f>
        <v>0</v>
      </c>
      <c r="F16" s="1698"/>
      <c r="G16" s="1699"/>
      <c r="H16" s="1699"/>
      <c r="I16" s="1699"/>
      <c r="J16" s="1700"/>
      <c r="K16" s="770"/>
      <c r="L16" s="773"/>
      <c r="M16" s="771"/>
      <c r="N16" s="771"/>
      <c r="O16" s="771"/>
      <c r="P16" s="772"/>
      <c r="Q16" s="774"/>
      <c r="R16" s="773">
        <f>IF(F16=0,IF(K16=0,L16,$D16-1),$D16-2)</f>
        <v>0</v>
      </c>
      <c r="S16" s="771"/>
      <c r="T16" s="771"/>
      <c r="U16" s="771"/>
      <c r="V16" s="772"/>
      <c r="W16" s="774">
        <f>'2. T7 LAINAT'!L23</f>
        <v>0</v>
      </c>
      <c r="X16" s="773">
        <f>IF(D16&gt;0,D16,0)</f>
        <v>0</v>
      </c>
      <c r="Y16" s="771">
        <f>'2. T7 LAINAT'!M23</f>
        <v>0</v>
      </c>
      <c r="Z16" s="771">
        <f t="shared" si="12"/>
        <v>0</v>
      </c>
      <c r="AA16" s="771">
        <f t="shared" si="3"/>
        <v>0</v>
      </c>
      <c r="AB16" s="772">
        <f t="shared" si="4"/>
        <v>0</v>
      </c>
      <c r="AC16" s="774">
        <f>'2. T7 LAINAT'!O23</f>
        <v>0</v>
      </c>
      <c r="AD16" s="773">
        <f t="shared" si="5"/>
        <v>0</v>
      </c>
      <c r="AE16" s="775">
        <f>'2. T7 LAINAT'!P23</f>
        <v>0</v>
      </c>
      <c r="AF16" s="771">
        <f t="shared" si="13"/>
        <v>0</v>
      </c>
      <c r="AG16" s="771">
        <f t="shared" si="6"/>
        <v>0</v>
      </c>
      <c r="AH16" s="772">
        <f t="shared" si="7"/>
        <v>0</v>
      </c>
      <c r="AI16" s="774">
        <v>0</v>
      </c>
      <c r="AJ16" s="773">
        <f t="shared" si="8"/>
        <v>0</v>
      </c>
      <c r="AK16" s="775">
        <f>IF(D16=0,0,IF(C16-S16-Y16-AE16-M16&lt;=0,0,'AT2 Lainat, alv'!AE16))</f>
        <v>0</v>
      </c>
      <c r="AL16" s="771">
        <f t="shared" si="14"/>
        <v>0</v>
      </c>
      <c r="AM16" s="771">
        <f t="shared" si="9"/>
        <v>0</v>
      </c>
      <c r="AN16" s="772">
        <f t="shared" si="10"/>
        <v>0</v>
      </c>
    </row>
    <row r="17" spans="2:40" x14ac:dyDescent="0.25">
      <c r="B17" s="776">
        <f>'2. T7 LAINAT'!B24</f>
        <v>0</v>
      </c>
      <c r="C17" s="80">
        <f>'2. T7 LAINAT'!C24</f>
        <v>0</v>
      </c>
      <c r="D17" s="87">
        <f>'2. T7 LAINAT'!D24</f>
        <v>0</v>
      </c>
      <c r="E17" s="81">
        <f>'2. T7 LAINAT'!E24</f>
        <v>0</v>
      </c>
      <c r="F17" s="1701"/>
      <c r="G17" s="1702"/>
      <c r="H17" s="1702"/>
      <c r="I17" s="1702"/>
      <c r="J17" s="1703"/>
      <c r="K17" s="179"/>
      <c r="L17" s="180"/>
      <c r="M17" s="171"/>
      <c r="N17" s="171"/>
      <c r="O17" s="171"/>
      <c r="P17" s="142"/>
      <c r="Q17" s="143"/>
      <c r="R17" s="180"/>
      <c r="S17" s="171"/>
      <c r="T17" s="171"/>
      <c r="U17" s="171"/>
      <c r="V17" s="142"/>
      <c r="W17" s="143">
        <f>'2. T7 LAINAT'!L24</f>
        <v>0</v>
      </c>
      <c r="X17" s="180">
        <f>IF(D17&gt;0,D17,0)</f>
        <v>0</v>
      </c>
      <c r="Y17" s="171">
        <f>'2. T7 LAINAT'!M24</f>
        <v>0</v>
      </c>
      <c r="Z17" s="171">
        <f t="shared" si="12"/>
        <v>0</v>
      </c>
      <c r="AA17" s="171">
        <f>U17+W17-Y17</f>
        <v>0</v>
      </c>
      <c r="AB17" s="142">
        <f>IF($E17*Z17&lt;0,0,Z17*$E17)</f>
        <v>0</v>
      </c>
      <c r="AC17" s="143">
        <f>'2. T7 LAINAT'!O24</f>
        <v>0</v>
      </c>
      <c r="AD17" s="180">
        <f t="shared" si="5"/>
        <v>0</v>
      </c>
      <c r="AE17" s="177">
        <f>'2. T7 LAINAT'!P24</f>
        <v>0</v>
      </c>
      <c r="AF17" s="171">
        <f t="shared" si="13"/>
        <v>0</v>
      </c>
      <c r="AG17" s="171">
        <f t="shared" si="6"/>
        <v>0</v>
      </c>
      <c r="AH17" s="142">
        <f t="shared" si="7"/>
        <v>0</v>
      </c>
      <c r="AI17" s="143">
        <v>0</v>
      </c>
      <c r="AJ17" s="180">
        <f t="shared" si="8"/>
        <v>0</v>
      </c>
      <c r="AK17" s="177">
        <f>IF(D17=0,0,IF(C17-S17-Y17-AE17-M17&lt;=0,0,'AT2 Lainat, alv'!AE17))</f>
        <v>0</v>
      </c>
      <c r="AL17" s="171">
        <f t="shared" si="14"/>
        <v>0</v>
      </c>
      <c r="AM17" s="171">
        <f t="shared" si="9"/>
        <v>0</v>
      </c>
      <c r="AN17" s="142">
        <f t="shared" si="10"/>
        <v>0</v>
      </c>
    </row>
    <row r="18" spans="2:40" x14ac:dyDescent="0.25">
      <c r="B18" s="776">
        <f>'2. T7 LAINAT'!B25</f>
        <v>0</v>
      </c>
      <c r="C18" s="80">
        <f>'2. T7 LAINAT'!C25</f>
        <v>0</v>
      </c>
      <c r="D18" s="75">
        <f>'2. T7 LAINAT'!D25</f>
        <v>0</v>
      </c>
      <c r="E18" s="81">
        <f>'2. T7 LAINAT'!E25</f>
        <v>0</v>
      </c>
      <c r="F18" s="1701"/>
      <c r="G18" s="1702"/>
      <c r="H18" s="1702"/>
      <c r="I18" s="1702"/>
      <c r="J18" s="1703"/>
      <c r="K18" s="179"/>
      <c r="L18" s="180"/>
      <c r="M18" s="171"/>
      <c r="N18" s="171"/>
      <c r="O18" s="171"/>
      <c r="P18" s="142"/>
      <c r="Q18" s="143"/>
      <c r="R18" s="180"/>
      <c r="S18" s="171"/>
      <c r="T18" s="171"/>
      <c r="U18" s="171"/>
      <c r="V18" s="142"/>
      <c r="W18" s="143">
        <f>'2. T7 LAINAT'!L25</f>
        <v>0</v>
      </c>
      <c r="X18" s="180">
        <f>IF(D18&gt;0,D18,0)</f>
        <v>0</v>
      </c>
      <c r="Y18" s="171">
        <f>'2. T7 LAINAT'!M25</f>
        <v>0</v>
      </c>
      <c r="Z18" s="171">
        <f t="shared" si="12"/>
        <v>0</v>
      </c>
      <c r="AA18" s="171">
        <f>U18+W18-Y18</f>
        <v>0</v>
      </c>
      <c r="AB18" s="142">
        <f>IF($E18*Z18&lt;0,0,Z18*$E18)</f>
        <v>0</v>
      </c>
      <c r="AC18" s="143">
        <f>'2. T7 LAINAT'!O25</f>
        <v>0</v>
      </c>
      <c r="AD18" s="180">
        <f t="shared" si="5"/>
        <v>0</v>
      </c>
      <c r="AE18" s="177">
        <f>'2. T7 LAINAT'!P25</f>
        <v>0</v>
      </c>
      <c r="AF18" s="171">
        <f t="shared" si="13"/>
        <v>0</v>
      </c>
      <c r="AG18" s="171">
        <f t="shared" si="6"/>
        <v>0</v>
      </c>
      <c r="AH18" s="142">
        <f t="shared" si="7"/>
        <v>0</v>
      </c>
      <c r="AI18" s="143">
        <v>0</v>
      </c>
      <c r="AJ18" s="180">
        <f t="shared" si="8"/>
        <v>0</v>
      </c>
      <c r="AK18" s="177">
        <f>IF(D18=0,0,IF(C18-S18-Y18-AE18-M18&lt;=0,0,'AT2 Lainat, alv'!AE18))</f>
        <v>0</v>
      </c>
      <c r="AL18" s="171">
        <f t="shared" si="14"/>
        <v>0</v>
      </c>
      <c r="AM18" s="171">
        <f t="shared" si="9"/>
        <v>0</v>
      </c>
      <c r="AN18" s="142">
        <f t="shared" si="10"/>
        <v>0</v>
      </c>
    </row>
    <row r="19" spans="2:40" ht="13.8" thickBot="1" x14ac:dyDescent="0.3">
      <c r="B19" s="777">
        <f>'2. T7 LAINAT'!B26</f>
        <v>0</v>
      </c>
      <c r="C19" s="778">
        <f>'2. T7 LAINAT'!C26</f>
        <v>0</v>
      </c>
      <c r="D19" s="795">
        <f>'2. T7 LAINAT'!D26</f>
        <v>0</v>
      </c>
      <c r="E19" s="780">
        <f>'2. T7 LAINAT'!E26</f>
        <v>0</v>
      </c>
      <c r="F19" s="1704"/>
      <c r="G19" s="1705"/>
      <c r="H19" s="1705"/>
      <c r="I19" s="1705"/>
      <c r="J19" s="1706"/>
      <c r="K19" s="781"/>
      <c r="L19" s="784"/>
      <c r="M19" s="782"/>
      <c r="N19" s="782"/>
      <c r="O19" s="782"/>
      <c r="P19" s="783"/>
      <c r="Q19" s="785"/>
      <c r="R19" s="784"/>
      <c r="S19" s="782"/>
      <c r="T19" s="782"/>
      <c r="U19" s="782"/>
      <c r="V19" s="783"/>
      <c r="W19" s="785">
        <f>'2. T7 LAINAT'!L26</f>
        <v>0</v>
      </c>
      <c r="X19" s="784">
        <f>IF(D19&gt;0,D19,0)</f>
        <v>0</v>
      </c>
      <c r="Y19" s="782">
        <f>'2. T7 LAINAT'!M26</f>
        <v>0</v>
      </c>
      <c r="Z19" s="782">
        <f t="shared" si="12"/>
        <v>0</v>
      </c>
      <c r="AA19" s="782">
        <f>U19+W19-Y19</f>
        <v>0</v>
      </c>
      <c r="AB19" s="783">
        <f>IF($E19*Z19&lt;0,0,Z19*$E19)</f>
        <v>0</v>
      </c>
      <c r="AC19" s="143">
        <f>'2. T7 LAINAT'!O26</f>
        <v>0</v>
      </c>
      <c r="AD19" s="784">
        <f t="shared" si="5"/>
        <v>0</v>
      </c>
      <c r="AE19" s="610">
        <f>'2. T7 LAINAT'!P26</f>
        <v>0</v>
      </c>
      <c r="AF19" s="782">
        <f t="shared" si="13"/>
        <v>0</v>
      </c>
      <c r="AG19" s="782">
        <f>AA19+AC19-AE19</f>
        <v>0</v>
      </c>
      <c r="AH19" s="783">
        <f>IF($E19*AF19&lt;0,0,AF19*$E19)</f>
        <v>0</v>
      </c>
      <c r="AI19" s="785"/>
      <c r="AJ19" s="784">
        <f t="shared" si="8"/>
        <v>0</v>
      </c>
      <c r="AK19" s="610">
        <f>IF(D19=0,0,IF(C19-S19-Y19-AE19-M19&lt;=0,0,'AT2 Lainat, alv'!AE19))</f>
        <v>0</v>
      </c>
      <c r="AL19" s="782">
        <f t="shared" si="14"/>
        <v>0</v>
      </c>
      <c r="AM19" s="782">
        <f>AG19+AI19-AK19</f>
        <v>0</v>
      </c>
      <c r="AN19" s="783">
        <f>IF($E19*AL19&lt;0,0,AL19*$E19)</f>
        <v>0</v>
      </c>
    </row>
    <row r="20" spans="2:40" x14ac:dyDescent="0.25">
      <c r="B20" s="766">
        <f>'2. T7 LAINAT'!B28</f>
        <v>0</v>
      </c>
      <c r="C20" s="767">
        <f>'2. T7 LAINAT'!C28</f>
        <v>0</v>
      </c>
      <c r="D20" s="796">
        <f>'2. T7 LAINAT'!D28</f>
        <v>0</v>
      </c>
      <c r="E20" s="769">
        <f>'2. T7 LAINAT'!E28</f>
        <v>0</v>
      </c>
      <c r="F20" s="1698"/>
      <c r="G20" s="1699"/>
      <c r="H20" s="1699"/>
      <c r="I20" s="1699"/>
      <c r="J20" s="1700"/>
      <c r="K20" s="770"/>
      <c r="L20" s="773"/>
      <c r="M20" s="771"/>
      <c r="N20" s="771"/>
      <c r="O20" s="771"/>
      <c r="P20" s="772"/>
      <c r="Q20" s="774"/>
      <c r="R20" s="773"/>
      <c r="S20" s="771"/>
      <c r="T20" s="771"/>
      <c r="U20" s="771"/>
      <c r="V20" s="772"/>
      <c r="W20" s="774"/>
      <c r="X20" s="773"/>
      <c r="Y20" s="771"/>
      <c r="Z20" s="771"/>
      <c r="AA20" s="771"/>
      <c r="AB20" s="772"/>
      <c r="AC20" s="774">
        <f>'2. T7 LAINAT'!O28</f>
        <v>0</v>
      </c>
      <c r="AD20" s="773">
        <f>IF(D20&gt;0,D20,0)</f>
        <v>0</v>
      </c>
      <c r="AE20" s="775">
        <f>'2. T7 LAINAT'!P28</f>
        <v>0</v>
      </c>
      <c r="AF20" s="771">
        <f t="shared" si="13"/>
        <v>0</v>
      </c>
      <c r="AG20" s="771">
        <f t="shared" si="6"/>
        <v>0</v>
      </c>
      <c r="AH20" s="772">
        <f t="shared" si="7"/>
        <v>0</v>
      </c>
      <c r="AI20" s="774">
        <v>0</v>
      </c>
      <c r="AJ20" s="773">
        <f t="shared" si="8"/>
        <v>0</v>
      </c>
      <c r="AK20" s="775">
        <f>IF(D20=0,0,IF(C20-S20-Y20-AE20-M20&lt;=0,0,'AT2 Lainat, alv'!AE20))</f>
        <v>0</v>
      </c>
      <c r="AL20" s="771">
        <f t="shared" si="14"/>
        <v>0</v>
      </c>
      <c r="AM20" s="771">
        <f t="shared" si="9"/>
        <v>0</v>
      </c>
      <c r="AN20" s="772">
        <f t="shared" si="10"/>
        <v>0</v>
      </c>
    </row>
    <row r="21" spans="2:40" x14ac:dyDescent="0.25">
      <c r="B21" s="776">
        <f>'2. T7 LAINAT'!B29</f>
        <v>0</v>
      </c>
      <c r="C21" s="80">
        <f>'2. T7 LAINAT'!C29</f>
        <v>0</v>
      </c>
      <c r="D21" s="75">
        <f>'2. T7 LAINAT'!D29</f>
        <v>0</v>
      </c>
      <c r="E21" s="81">
        <f>'2. T7 LAINAT'!E29</f>
        <v>0</v>
      </c>
      <c r="F21" s="1701"/>
      <c r="G21" s="1702"/>
      <c r="H21" s="1702"/>
      <c r="I21" s="1702"/>
      <c r="J21" s="1703"/>
      <c r="K21" s="179"/>
      <c r="L21" s="180"/>
      <c r="M21" s="171"/>
      <c r="N21" s="171"/>
      <c r="O21" s="171"/>
      <c r="P21" s="142"/>
      <c r="Q21" s="143"/>
      <c r="R21" s="180"/>
      <c r="S21" s="171"/>
      <c r="T21" s="171"/>
      <c r="U21" s="171"/>
      <c r="V21" s="142"/>
      <c r="W21" s="143"/>
      <c r="X21" s="180"/>
      <c r="Y21" s="171"/>
      <c r="Z21" s="171"/>
      <c r="AA21" s="171"/>
      <c r="AB21" s="142"/>
      <c r="AC21" s="143">
        <f>'2. T7 LAINAT'!O29</f>
        <v>0</v>
      </c>
      <c r="AD21" s="180">
        <f>IF(D21&gt;0,D21,0)</f>
        <v>0</v>
      </c>
      <c r="AE21" s="177">
        <f>'2. T7 LAINAT'!P29</f>
        <v>0</v>
      </c>
      <c r="AF21" s="171">
        <f t="shared" si="13"/>
        <v>0</v>
      </c>
      <c r="AG21" s="171">
        <f t="shared" si="6"/>
        <v>0</v>
      </c>
      <c r="AH21" s="142">
        <f t="shared" si="7"/>
        <v>0</v>
      </c>
      <c r="AI21" s="143">
        <v>0</v>
      </c>
      <c r="AJ21" s="180">
        <f t="shared" si="8"/>
        <v>0</v>
      </c>
      <c r="AK21" s="177">
        <f>IF(D21=0,0,IF(C21-S21-Y21-AE21-M21&lt;=0,0,'AT2 Lainat, alv'!AE21))</f>
        <v>0</v>
      </c>
      <c r="AL21" s="171">
        <f t="shared" si="14"/>
        <v>0</v>
      </c>
      <c r="AM21" s="171">
        <f t="shared" si="9"/>
        <v>0</v>
      </c>
      <c r="AN21" s="142">
        <f t="shared" si="10"/>
        <v>0</v>
      </c>
    </row>
    <row r="22" spans="2:40" x14ac:dyDescent="0.25">
      <c r="B22" s="776">
        <f>'2. T7 LAINAT'!B30</f>
        <v>0</v>
      </c>
      <c r="C22" s="80">
        <f>'2. T7 LAINAT'!C30</f>
        <v>0</v>
      </c>
      <c r="D22" s="75">
        <f>'2. T7 LAINAT'!D30</f>
        <v>0</v>
      </c>
      <c r="E22" s="81">
        <f>'2. T7 LAINAT'!E30</f>
        <v>0</v>
      </c>
      <c r="F22" s="1701"/>
      <c r="G22" s="1702"/>
      <c r="H22" s="1702"/>
      <c r="I22" s="1702"/>
      <c r="J22" s="1703"/>
      <c r="K22" s="179"/>
      <c r="L22" s="180"/>
      <c r="M22" s="171"/>
      <c r="N22" s="171"/>
      <c r="O22" s="171"/>
      <c r="P22" s="142"/>
      <c r="Q22" s="143"/>
      <c r="R22" s="180"/>
      <c r="S22" s="171"/>
      <c r="T22" s="171"/>
      <c r="U22" s="171"/>
      <c r="V22" s="142"/>
      <c r="W22" s="143"/>
      <c r="X22" s="180"/>
      <c r="Y22" s="171"/>
      <c r="Z22" s="171"/>
      <c r="AA22" s="171"/>
      <c r="AB22" s="142"/>
      <c r="AC22" s="143">
        <f>'2. T7 LAINAT'!O30</f>
        <v>0</v>
      </c>
      <c r="AD22" s="180">
        <f>IF(D22&gt;0,D22,0)</f>
        <v>0</v>
      </c>
      <c r="AE22" s="177">
        <f>'2. T7 LAINAT'!P30</f>
        <v>0</v>
      </c>
      <c r="AF22" s="171">
        <f t="shared" si="13"/>
        <v>0</v>
      </c>
      <c r="AG22" s="171">
        <f>AA22+AC22-AE22</f>
        <v>0</v>
      </c>
      <c r="AH22" s="142">
        <f>IF($E22*AF22&lt;0,0,AF22*$E22)</f>
        <v>0</v>
      </c>
      <c r="AI22" s="143">
        <v>0</v>
      </c>
      <c r="AJ22" s="180">
        <f t="shared" si="8"/>
        <v>0</v>
      </c>
      <c r="AK22" s="177">
        <f>IF(D22=0,0,IF(C22-S22-Y22-AE22-M22&lt;=0,0,'AT2 Lainat, alv'!AE22))</f>
        <v>0</v>
      </c>
      <c r="AL22" s="171">
        <f t="shared" si="14"/>
        <v>0</v>
      </c>
      <c r="AM22" s="171">
        <f t="shared" si="9"/>
        <v>0</v>
      </c>
      <c r="AN22" s="142">
        <f t="shared" si="10"/>
        <v>0</v>
      </c>
    </row>
    <row r="23" spans="2:40" ht="13.8" thickBot="1" x14ac:dyDescent="0.3">
      <c r="B23" s="777">
        <f>'2. T7 LAINAT'!B31</f>
        <v>0</v>
      </c>
      <c r="C23" s="778">
        <f>'2. T7 LAINAT'!C31</f>
        <v>0</v>
      </c>
      <c r="D23" s="795">
        <f>'2. T7 LAINAT'!D31</f>
        <v>0</v>
      </c>
      <c r="E23" s="780">
        <f>'2. T7 LAINAT'!E31</f>
        <v>0</v>
      </c>
      <c r="F23" s="1713"/>
      <c r="G23" s="1714"/>
      <c r="H23" s="1714"/>
      <c r="I23" s="1714"/>
      <c r="J23" s="1714"/>
      <c r="K23" s="797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785">
        <f>'2. T7 LAINAT'!O31</f>
        <v>0</v>
      </c>
      <c r="AD23" s="784">
        <f>IF(D23&gt;0,D23,0)</f>
        <v>0</v>
      </c>
      <c r="AE23" s="610">
        <f>'2. T7 LAINAT'!P31</f>
        <v>0</v>
      </c>
      <c r="AF23" s="782">
        <f t="shared" si="13"/>
        <v>0</v>
      </c>
      <c r="AG23" s="782">
        <f>AA23+AC23-AE23</f>
        <v>0</v>
      </c>
      <c r="AH23" s="783">
        <f>IF($E23*AF23&lt;0,0,AF23*$E23)</f>
        <v>0</v>
      </c>
      <c r="AI23" s="785">
        <v>0</v>
      </c>
      <c r="AJ23" s="784">
        <f t="shared" si="8"/>
        <v>0</v>
      </c>
      <c r="AK23" s="610">
        <f>IF(D23=0,0,IF(C23-S23-Y23-AE23-M23&lt;=0,0,'AT2 Lainat, alv'!AE23))</f>
        <v>0</v>
      </c>
      <c r="AL23" s="782">
        <f t="shared" si="14"/>
        <v>0</v>
      </c>
      <c r="AM23" s="782">
        <f>AG23+AI23-AK23</f>
        <v>0</v>
      </c>
      <c r="AN23" s="783">
        <f>IF($E23*AL23&lt;0,0,AL23*$E23)</f>
        <v>0</v>
      </c>
    </row>
    <row r="24" spans="2:40" s="2" customFormat="1" x14ac:dyDescent="0.25">
      <c r="B24" s="2" t="s">
        <v>313</v>
      </c>
      <c r="C24" s="239">
        <f>SUM(C8:C22)</f>
        <v>0</v>
      </c>
      <c r="D24" s="240"/>
      <c r="F24" s="1715"/>
      <c r="G24" s="1715">
        <f>SUM(G8:G23)</f>
        <v>0</v>
      </c>
      <c r="H24" s="1715"/>
      <c r="I24" s="1715">
        <f>SUM(I8:I23)</f>
        <v>0</v>
      </c>
      <c r="J24" s="1715">
        <f>SUM(J7:J23)</f>
        <v>0</v>
      </c>
      <c r="K24" s="144">
        <f>SUM(K7:K23)</f>
        <v>0</v>
      </c>
      <c r="L24" s="144" t="s">
        <v>3</v>
      </c>
      <c r="M24" s="144">
        <f>SUM(M8:M23)</f>
        <v>0</v>
      </c>
      <c r="N24" s="144">
        <f>SUM(N8:N23)</f>
        <v>0</v>
      </c>
      <c r="O24" s="144">
        <f>SUM(O8:O23)</f>
        <v>0</v>
      </c>
      <c r="P24" s="144">
        <f>SUM(P8:P23)</f>
        <v>0</v>
      </c>
      <c r="Q24" s="144">
        <f>SUM(Q7:Q23)</f>
        <v>0</v>
      </c>
      <c r="R24" s="144">
        <f>SUM(R7:R23)</f>
        <v>0</v>
      </c>
      <c r="S24" s="144">
        <f>SUM(S8:S23)</f>
        <v>0</v>
      </c>
      <c r="T24" s="144">
        <f>SUM(T8:T23)</f>
        <v>0</v>
      </c>
      <c r="U24" s="144">
        <f>SUM(U8:U23)</f>
        <v>0</v>
      </c>
      <c r="V24" s="144">
        <f>SUM(V8:V23)</f>
        <v>0</v>
      </c>
      <c r="W24" s="144">
        <f>SUM(W8:W23)</f>
        <v>0</v>
      </c>
      <c r="X24" s="144" t="s">
        <v>3</v>
      </c>
      <c r="Y24" s="144">
        <f>SUM(Y8:Y23)</f>
        <v>0</v>
      </c>
      <c r="Z24" s="144">
        <f>SUM(Z8:Z23)</f>
        <v>0</v>
      </c>
      <c r="AA24" s="144">
        <f>SUM(AA8:AA23)</f>
        <v>0</v>
      </c>
      <c r="AB24" s="144">
        <f>SUM(AB8:AB23)</f>
        <v>0</v>
      </c>
      <c r="AC24" s="144">
        <f>SUM(AC8:AC23)</f>
        <v>0</v>
      </c>
      <c r="AD24" s="144" t="s">
        <v>3</v>
      </c>
      <c r="AE24" s="144">
        <f>SUM(AE8:AE23)</f>
        <v>0</v>
      </c>
      <c r="AF24" s="144">
        <f>SUM(AF8:AF23)</f>
        <v>0</v>
      </c>
      <c r="AG24" s="144">
        <f>SUM(AG8:AG23)</f>
        <v>0</v>
      </c>
      <c r="AH24" s="144">
        <f>SUM(AH8:AH23)</f>
        <v>0</v>
      </c>
      <c r="AI24" s="144">
        <f>SUM(AI8:AI23)</f>
        <v>0</v>
      </c>
      <c r="AJ24" s="144" t="s">
        <v>3</v>
      </c>
      <c r="AK24" s="144">
        <f>SUM(AK8:AK23)</f>
        <v>0</v>
      </c>
      <c r="AL24" s="144">
        <f>SUM(AL8:AL23)</f>
        <v>0</v>
      </c>
      <c r="AM24" s="144">
        <f>SUM(AM8:AM23)</f>
        <v>0</v>
      </c>
      <c r="AN24" s="144">
        <f>SUM(AN8:AN23)</f>
        <v>0</v>
      </c>
    </row>
    <row r="25" spans="2:40" s="2" customFormat="1" x14ac:dyDescent="0.25">
      <c r="C25" s="239"/>
      <c r="D25" s="240"/>
      <c r="F25" s="1715"/>
      <c r="G25" s="1715"/>
      <c r="H25" s="1715"/>
      <c r="I25" s="1715"/>
      <c r="J25" s="1715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  <c r="AD25" s="144"/>
      <c r="AE25" s="144"/>
      <c r="AF25" s="144"/>
      <c r="AG25" s="144"/>
      <c r="AH25" s="144"/>
      <c r="AI25" s="144"/>
      <c r="AJ25" s="144"/>
      <c r="AK25" s="144"/>
      <c r="AL25" s="144"/>
      <c r="AM25" s="144"/>
      <c r="AN25" s="144"/>
    </row>
    <row r="26" spans="2:40" s="2" customFormat="1" ht="13.8" thickBot="1" x14ac:dyDescent="0.3">
      <c r="B26" s="2" t="s">
        <v>314</v>
      </c>
      <c r="C26" s="239"/>
      <c r="D26" s="240"/>
      <c r="F26" s="1716"/>
      <c r="G26" s="1715"/>
      <c r="H26" s="1717"/>
      <c r="I26" s="1716"/>
      <c r="J26" s="1716"/>
      <c r="K26" s="239"/>
      <c r="L26" s="144"/>
      <c r="M26" s="5" t="s">
        <v>315</v>
      </c>
      <c r="N26" s="239"/>
      <c r="O26" s="239"/>
      <c r="P26" s="239"/>
      <c r="Q26" s="239"/>
      <c r="R26" s="144"/>
      <c r="S26" s="5" t="s">
        <v>315</v>
      </c>
      <c r="T26" s="239"/>
      <c r="U26" s="239"/>
      <c r="V26" s="239"/>
      <c r="W26" s="239"/>
      <c r="X26" s="144"/>
      <c r="Y26" s="5" t="s">
        <v>315</v>
      </c>
      <c r="Z26" s="239"/>
      <c r="AA26" s="239"/>
      <c r="AB26" s="239"/>
      <c r="AC26" s="239"/>
      <c r="AD26" s="144">
        <f>SUM(AD9:AD24)</f>
        <v>0</v>
      </c>
      <c r="AE26" s="5" t="s">
        <v>315</v>
      </c>
      <c r="AF26" s="239"/>
      <c r="AG26" s="239"/>
      <c r="AH26" s="239"/>
      <c r="AI26" s="239"/>
      <c r="AJ26" s="144"/>
      <c r="AK26" s="5" t="s">
        <v>315</v>
      </c>
      <c r="AL26" s="144"/>
      <c r="AM26" s="144"/>
      <c r="AN26" s="144"/>
    </row>
    <row r="27" spans="2:40" s="2" customFormat="1" x14ac:dyDescent="0.25">
      <c r="D27" s="5" t="s">
        <v>302</v>
      </c>
      <c r="F27" s="2021"/>
      <c r="G27" s="2019"/>
      <c r="H27" s="2019"/>
      <c r="I27" s="2019"/>
      <c r="J27" s="2019"/>
      <c r="K27" s="2011" t="str">
        <f>K3</f>
        <v>Ennuste 1</v>
      </c>
      <c r="L27" s="2012"/>
      <c r="M27" s="2012"/>
      <c r="N27" s="2012"/>
      <c r="O27" s="2012"/>
      <c r="P27" s="2013"/>
      <c r="Q27" s="2011" t="str">
        <f>Q3</f>
        <v>Ennuste 2</v>
      </c>
      <c r="R27" s="2012"/>
      <c r="S27" s="2012"/>
      <c r="T27" s="2012"/>
      <c r="U27" s="2012"/>
      <c r="V27" s="2013"/>
      <c r="W27" s="2011" t="str">
        <f>W3</f>
        <v>Ennuste 3</v>
      </c>
      <c r="X27" s="2012"/>
      <c r="Y27" s="2012"/>
      <c r="Z27" s="2012"/>
      <c r="AA27" s="2012"/>
      <c r="AB27" s="2013"/>
      <c r="AC27" s="2011" t="s">
        <v>22</v>
      </c>
      <c r="AD27" s="2012"/>
      <c r="AE27" s="2012"/>
      <c r="AF27" s="2012"/>
      <c r="AG27" s="2012"/>
      <c r="AH27" s="2013"/>
      <c r="AI27" s="2011" t="s">
        <v>301</v>
      </c>
      <c r="AJ27" s="2012"/>
      <c r="AK27" s="2012"/>
      <c r="AL27" s="2012"/>
      <c r="AM27" s="2012"/>
      <c r="AN27" s="2013"/>
    </row>
    <row r="28" spans="2:40" ht="13.8" thickBot="1" x14ac:dyDescent="0.3">
      <c r="C28" s="5" t="s">
        <v>304</v>
      </c>
      <c r="D28" s="5" t="s">
        <v>305</v>
      </c>
      <c r="E28" s="5" t="s">
        <v>306</v>
      </c>
      <c r="F28" s="2026"/>
      <c r="G28" s="2027"/>
      <c r="H28" s="2027"/>
      <c r="I28" s="2027"/>
      <c r="J28" s="2027"/>
      <c r="K28" s="83" t="s">
        <v>307</v>
      </c>
      <c r="L28" s="79" t="s">
        <v>3</v>
      </c>
      <c r="M28" s="79" t="s">
        <v>309</v>
      </c>
      <c r="N28" s="79" t="s">
        <v>3</v>
      </c>
      <c r="O28" s="79" t="s">
        <v>311</v>
      </c>
      <c r="P28" s="84" t="s">
        <v>306</v>
      </c>
      <c r="Q28" s="83" t="s">
        <v>307</v>
      </c>
      <c r="R28" s="79" t="s">
        <v>3</v>
      </c>
      <c r="S28" s="79" t="s">
        <v>309</v>
      </c>
      <c r="T28" s="79" t="s">
        <v>3</v>
      </c>
      <c r="U28" s="79" t="s">
        <v>311</v>
      </c>
      <c r="V28" s="84" t="s">
        <v>306</v>
      </c>
      <c r="W28" s="83" t="s">
        <v>307</v>
      </c>
      <c r="X28" s="79" t="s">
        <v>3</v>
      </c>
      <c r="Y28" s="79" t="s">
        <v>309</v>
      </c>
      <c r="Z28" s="79" t="s">
        <v>3</v>
      </c>
      <c r="AA28" s="79" t="s">
        <v>311</v>
      </c>
      <c r="AB28" s="84" t="s">
        <v>306</v>
      </c>
      <c r="AC28" s="83" t="s">
        <v>307</v>
      </c>
      <c r="AD28" s="79" t="s">
        <v>3</v>
      </c>
      <c r="AE28" s="79" t="s">
        <v>309</v>
      </c>
      <c r="AF28" s="79" t="s">
        <v>3</v>
      </c>
      <c r="AG28" s="79" t="s">
        <v>311</v>
      </c>
      <c r="AH28" s="84" t="s">
        <v>306</v>
      </c>
      <c r="AI28" s="83" t="s">
        <v>307</v>
      </c>
      <c r="AJ28" s="79" t="s">
        <v>3</v>
      </c>
      <c r="AK28" s="79" t="s">
        <v>309</v>
      </c>
      <c r="AL28" s="79" t="s">
        <v>3</v>
      </c>
      <c r="AM28" s="79" t="s">
        <v>311</v>
      </c>
      <c r="AN28" s="84" t="s">
        <v>306</v>
      </c>
    </row>
    <row r="29" spans="2:40" x14ac:dyDescent="0.25">
      <c r="B29" s="1685" t="s">
        <v>316</v>
      </c>
      <c r="C29" s="1686">
        <f>'2. T7 LAINAT'!C34</f>
        <v>0</v>
      </c>
      <c r="D29" s="1687">
        <f>'2. T7 LAINAT'!D34*12</f>
        <v>0</v>
      </c>
      <c r="E29" s="1688">
        <f>'2. T7 LAINAT'!E34</f>
        <v>0</v>
      </c>
      <c r="F29" s="1718"/>
      <c r="G29" s="1719"/>
      <c r="H29" s="1718"/>
      <c r="I29" s="1718"/>
      <c r="J29" s="1718"/>
      <c r="K29" s="1862">
        <f>'2. T7 LAINAT'!F34</f>
        <v>0</v>
      </c>
      <c r="L29" s="1735"/>
      <c r="M29" s="1735">
        <f>IF($E29=0,0,-CUMPRINC($E29/12,$D29,$C29,K30,K31,0))</f>
        <v>0</v>
      </c>
      <c r="N29" s="1735"/>
      <c r="O29" s="1735">
        <f>K29-M29</f>
        <v>0</v>
      </c>
      <c r="P29" s="1736">
        <f>IF($D29&lt;K30,0,IF($E29=0,0,-CUMIPMT($E29/12,$D29,$C29,K30,K31,0)))</f>
        <v>0</v>
      </c>
      <c r="Q29" s="1734"/>
      <c r="R29" s="1735"/>
      <c r="S29" s="1735">
        <f>IF($D29&lt;Q30,0,IF($E29=0,0,-CUMPRINC($E29/12,$D29,$C29,Q30,Q31,0)))</f>
        <v>0</v>
      </c>
      <c r="T29" s="1735"/>
      <c r="U29" s="1735">
        <f>O29-S29</f>
        <v>0</v>
      </c>
      <c r="V29" s="1736">
        <f>IF($D29&lt;Q30,0,IF($E29=0,0,-CUMIPMT($E29/12,$D29,$C29,Q30,Q31,0)))</f>
        <v>0</v>
      </c>
      <c r="W29" s="1734"/>
      <c r="X29" s="1735"/>
      <c r="Y29" s="1735">
        <f>IF($D29&lt;W30,0,IF($E29=0,0,-CUMPRINC($E29/12,$D29,$C29,W30,W31,0)))</f>
        <v>0</v>
      </c>
      <c r="Z29" s="1735"/>
      <c r="AA29" s="1735">
        <f>U29-Y29</f>
        <v>0</v>
      </c>
      <c r="AB29" s="1736">
        <f>IF($D29&lt;W30,0,IF($E29=0,0,-CUMIPMT($E29/12,$D29,$C29,W30,W31,0)))</f>
        <v>0</v>
      </c>
      <c r="AC29" s="1734"/>
      <c r="AD29" s="1735"/>
      <c r="AE29" s="1735">
        <f>IF($D29&lt;AC30,0,IF($E29=0,0,-CUMPRINC($E29/12,$D29,$C29,AC30,AC31,0)))</f>
        <v>0</v>
      </c>
      <c r="AF29" s="1735"/>
      <c r="AG29" s="1735">
        <f>AA29-AE29</f>
        <v>0</v>
      </c>
      <c r="AH29" s="1736">
        <f>IF($D29&lt;AC30,0,IF($E29=0,0,-CUMIPMT($E29/12,$D29,$C29,AC30,AC31,0)))</f>
        <v>0</v>
      </c>
      <c r="AI29" s="1734"/>
      <c r="AJ29" s="1735"/>
      <c r="AK29" s="1735">
        <f>IF($D29&lt;AI30,0,IF($E29=0,0,-CUMPRINC($E29/12,$D29,$C29,AI30,AI31,0)))</f>
        <v>0</v>
      </c>
      <c r="AL29" s="1735"/>
      <c r="AM29" s="1735">
        <f>AG29-AK29</f>
        <v>0</v>
      </c>
      <c r="AN29" s="1736">
        <f>IF($D29&lt;AI30,0,IF($E29=0,0,-CUMIPMT($E29/12,$D29,$C29,AI30,AI31,0)))</f>
        <v>0</v>
      </c>
    </row>
    <row r="30" spans="2:40" x14ac:dyDescent="0.25">
      <c r="B30" s="1689" t="s">
        <v>317</v>
      </c>
      <c r="C30" s="1237"/>
      <c r="D30" s="1690"/>
      <c r="E30" s="1237"/>
      <c r="F30" s="1720"/>
      <c r="G30" s="1721"/>
      <c r="H30" s="1720"/>
      <c r="I30" s="1720"/>
      <c r="J30" s="1720"/>
      <c r="K30" s="143">
        <v>1</v>
      </c>
      <c r="L30" s="1863"/>
      <c r="M30" s="171"/>
      <c r="N30" s="171"/>
      <c r="O30" s="171"/>
      <c r="P30" s="142"/>
      <c r="Q30" s="143">
        <v>13</v>
      </c>
      <c r="R30" s="1863"/>
      <c r="S30" s="171"/>
      <c r="T30" s="171"/>
      <c r="U30" s="171"/>
      <c r="V30" s="142"/>
      <c r="W30" s="143">
        <v>25</v>
      </c>
      <c r="X30" s="171"/>
      <c r="Y30" s="171"/>
      <c r="Z30" s="171"/>
      <c r="AA30" s="171"/>
      <c r="AB30" s="142"/>
      <c r="AC30" s="776">
        <v>37</v>
      </c>
      <c r="AD30" s="75"/>
      <c r="AE30" s="75"/>
      <c r="AF30" s="75"/>
      <c r="AG30" s="75"/>
      <c r="AH30" s="1737"/>
      <c r="AI30" s="776">
        <v>49</v>
      </c>
      <c r="AJ30" s="75"/>
      <c r="AK30" s="75"/>
      <c r="AL30" s="75"/>
      <c r="AM30" s="75"/>
      <c r="AN30" s="1737"/>
    </row>
    <row r="31" spans="2:40" ht="13.8" thickBot="1" x14ac:dyDescent="0.3">
      <c r="B31" s="1691" t="s">
        <v>318</v>
      </c>
      <c r="C31" s="1692"/>
      <c r="D31" s="1693"/>
      <c r="E31" s="1692"/>
      <c r="F31" s="1722"/>
      <c r="G31" s="1723"/>
      <c r="H31" s="1722"/>
      <c r="I31" s="1722"/>
      <c r="J31" s="1722"/>
      <c r="K31" s="785">
        <v>12</v>
      </c>
      <c r="L31" s="1864"/>
      <c r="M31" s="782"/>
      <c r="N31" s="782"/>
      <c r="O31" s="782"/>
      <c r="P31" s="783"/>
      <c r="Q31" s="785">
        <v>24</v>
      </c>
      <c r="R31" s="1864"/>
      <c r="S31" s="782"/>
      <c r="T31" s="782"/>
      <c r="U31" s="782"/>
      <c r="V31" s="783"/>
      <c r="W31" s="785">
        <v>36</v>
      </c>
      <c r="X31" s="782"/>
      <c r="Y31" s="782"/>
      <c r="Z31" s="782"/>
      <c r="AA31" s="782"/>
      <c r="AB31" s="783"/>
      <c r="AC31" s="777">
        <v>48</v>
      </c>
      <c r="AD31" s="795"/>
      <c r="AE31" s="795"/>
      <c r="AF31" s="795"/>
      <c r="AG31" s="795"/>
      <c r="AH31" s="1738"/>
      <c r="AI31" s="777">
        <v>60</v>
      </c>
      <c r="AJ31" s="795"/>
      <c r="AK31" s="795"/>
      <c r="AL31" s="795"/>
      <c r="AM31" s="795"/>
      <c r="AN31" s="1738"/>
    </row>
    <row r="32" spans="2:40" s="2" customFormat="1" x14ac:dyDescent="0.25">
      <c r="B32" s="1685" t="s">
        <v>319</v>
      </c>
      <c r="C32" s="1686">
        <f>'2. T7 LAINAT'!C35</f>
        <v>0</v>
      </c>
      <c r="D32" s="1687">
        <f>'2. T7 LAINAT'!D35*12</f>
        <v>0</v>
      </c>
      <c r="E32" s="1688">
        <f>'2. T7 LAINAT'!E35</f>
        <v>0</v>
      </c>
      <c r="F32" s="1718"/>
      <c r="G32" s="1719"/>
      <c r="H32" s="1718"/>
      <c r="I32" s="1718"/>
      <c r="J32" s="1718"/>
      <c r="K32" s="1862">
        <f>'2. T7 LAINAT'!F35</f>
        <v>0</v>
      </c>
      <c r="L32" s="1735"/>
      <c r="M32" s="1735">
        <f>IF($E32=0,0,IF($K32=0,0,-CUMPRINC($E32/12,$D32,$C32,Q33,Q34,0)))</f>
        <v>0</v>
      </c>
      <c r="N32" s="1735"/>
      <c r="O32" s="1735"/>
      <c r="P32" s="1736">
        <v>0</v>
      </c>
      <c r="Q32" s="1734">
        <f>'2. T7 LAINAT'!I35</f>
        <v>0</v>
      </c>
      <c r="R32" s="1735"/>
      <c r="S32" s="1735">
        <f>IF($D32&lt;Q33,0,IF($E32=0,0,-CUMPRINC($E32/12,$D32,$C32,Q33,Q34,0)))</f>
        <v>0</v>
      </c>
      <c r="T32" s="1735"/>
      <c r="U32" s="1735">
        <f>Q32-S32</f>
        <v>0</v>
      </c>
      <c r="V32" s="1736">
        <f>IF($D32&lt;Q33,0,IF($E32=0,0,-CUMIPMT($E32/12,$D32,$C32,Q33,Q34,0)))</f>
        <v>0</v>
      </c>
      <c r="W32" s="1734"/>
      <c r="X32" s="1735"/>
      <c r="Y32" s="1735">
        <f>IF($D32&lt;W33,0,IF($E32=0,0,-CUMPRINC($E32/12,$D32,$C32,W33,W34,0)))</f>
        <v>0</v>
      </c>
      <c r="Z32" s="1735"/>
      <c r="AA32" s="1735">
        <f>U32-Y32</f>
        <v>0</v>
      </c>
      <c r="AB32" s="1736">
        <f>IF($D32&lt;W33,0,IF($E32=0,0,-CUMIPMT($E32/12,$D32,$C32,W33,W34,0)))</f>
        <v>0</v>
      </c>
      <c r="AC32" s="1734"/>
      <c r="AD32" s="1735"/>
      <c r="AE32" s="1735">
        <f>IF($D32&lt;AC33,0,IF($E32=0,0,-CUMPRINC($E32/12,$D32,$C32,AC33,AC34,0)))</f>
        <v>0</v>
      </c>
      <c r="AF32" s="1735"/>
      <c r="AG32" s="1735">
        <f>AA32-AE32</f>
        <v>0</v>
      </c>
      <c r="AH32" s="1736">
        <f>IF($D32&lt;AC33,0,IF($E32=0,0,-CUMIPMT($E32/12,$D32,$C32,AC33,AC34,0)))</f>
        <v>0</v>
      </c>
      <c r="AI32" s="1734"/>
      <c r="AJ32" s="1735"/>
      <c r="AK32" s="1735">
        <f>IF($D32&lt;AI33,0,IF($E32=0,0,-CUMPRINC($E32/12,$D32,$C32,AI33,AI34,0)))</f>
        <v>0</v>
      </c>
      <c r="AL32" s="1735"/>
      <c r="AM32" s="1735">
        <f>AG32-AK32</f>
        <v>0</v>
      </c>
      <c r="AN32" s="1736">
        <f>IF($D32&lt;AI33,0,IF($E32=0,0,-CUMIPMT($E32/12,$D32,$C32,AI33,AI34,0)))</f>
        <v>0</v>
      </c>
    </row>
    <row r="33" spans="2:40" x14ac:dyDescent="0.25">
      <c r="B33" s="1689" t="s">
        <v>317</v>
      </c>
      <c r="C33" s="1237"/>
      <c r="D33" s="1690"/>
      <c r="E33" s="1237"/>
      <c r="F33" s="1720"/>
      <c r="G33" s="1721"/>
      <c r="H33" s="1720"/>
      <c r="I33" s="1720"/>
      <c r="J33" s="1720"/>
      <c r="K33" s="143"/>
      <c r="L33" s="1863"/>
      <c r="M33" s="171"/>
      <c r="N33" s="171"/>
      <c r="O33" s="171"/>
      <c r="P33" s="142"/>
      <c r="Q33" s="143">
        <v>1</v>
      </c>
      <c r="R33" s="1863"/>
      <c r="S33" s="171"/>
      <c r="T33" s="171"/>
      <c r="U33" s="171"/>
      <c r="V33" s="142"/>
      <c r="W33" s="143">
        <v>13</v>
      </c>
      <c r="X33" s="171"/>
      <c r="Y33" s="171"/>
      <c r="Z33" s="171"/>
      <c r="AA33" s="171"/>
      <c r="AB33" s="142"/>
      <c r="AC33" s="776">
        <v>25</v>
      </c>
      <c r="AD33" s="75"/>
      <c r="AE33" s="75"/>
      <c r="AF33" s="75"/>
      <c r="AG33" s="75"/>
      <c r="AH33" s="1737"/>
      <c r="AI33" s="776">
        <v>37</v>
      </c>
      <c r="AJ33" s="75"/>
      <c r="AK33" s="75"/>
      <c r="AL33" s="75"/>
      <c r="AM33" s="75"/>
      <c r="AN33" s="1737"/>
    </row>
    <row r="34" spans="2:40" ht="13.8" thickBot="1" x14ac:dyDescent="0.3">
      <c r="B34" s="1691" t="s">
        <v>318</v>
      </c>
      <c r="C34" s="1692"/>
      <c r="D34" s="1693"/>
      <c r="E34" s="1692"/>
      <c r="F34" s="1722"/>
      <c r="G34" s="1723"/>
      <c r="H34" s="1722"/>
      <c r="I34" s="1722"/>
      <c r="J34" s="1722"/>
      <c r="K34" s="785"/>
      <c r="L34" s="1864"/>
      <c r="M34" s="782"/>
      <c r="N34" s="782"/>
      <c r="O34" s="782"/>
      <c r="P34" s="783"/>
      <c r="Q34" s="785">
        <v>12</v>
      </c>
      <c r="R34" s="1864"/>
      <c r="S34" s="782"/>
      <c r="T34" s="782"/>
      <c r="U34" s="782"/>
      <c r="V34" s="783"/>
      <c r="W34" s="785">
        <v>24</v>
      </c>
      <c r="X34" s="782"/>
      <c r="Y34" s="782"/>
      <c r="Z34" s="782"/>
      <c r="AA34" s="782"/>
      <c r="AB34" s="783"/>
      <c r="AC34" s="777">
        <v>36</v>
      </c>
      <c r="AD34" s="795"/>
      <c r="AE34" s="795"/>
      <c r="AF34" s="795"/>
      <c r="AG34" s="795"/>
      <c r="AH34" s="1738"/>
      <c r="AI34" s="777">
        <v>48</v>
      </c>
      <c r="AJ34" s="795"/>
      <c r="AK34" s="795"/>
      <c r="AL34" s="795"/>
      <c r="AM34" s="795"/>
      <c r="AN34" s="1738"/>
    </row>
    <row r="35" spans="2:40" x14ac:dyDescent="0.25">
      <c r="B35" s="1685" t="s">
        <v>320</v>
      </c>
      <c r="C35" s="1686">
        <f>'2. T7 LAINAT'!C36</f>
        <v>0</v>
      </c>
      <c r="D35" s="1687">
        <f>'2. T7 LAINAT'!D36*12</f>
        <v>0</v>
      </c>
      <c r="E35" s="1688">
        <f>'2. T7 LAINAT'!E36</f>
        <v>0</v>
      </c>
      <c r="F35" s="1718"/>
      <c r="G35" s="1719"/>
      <c r="H35" s="1718"/>
      <c r="I35" s="1733" t="s">
        <v>3</v>
      </c>
      <c r="J35" s="1718"/>
      <c r="K35" s="1862"/>
      <c r="L35" s="1735"/>
      <c r="M35" s="1735"/>
      <c r="N35" s="1735"/>
      <c r="O35" s="1735"/>
      <c r="P35" s="1736"/>
      <c r="Q35" s="1734"/>
      <c r="R35" s="1735"/>
      <c r="S35" s="1735"/>
      <c r="T35" s="1735"/>
      <c r="U35" s="1735"/>
      <c r="V35" s="1736"/>
      <c r="W35" s="1734">
        <f>'2. T7 LAINAT'!L36</f>
        <v>0</v>
      </c>
      <c r="X35" s="1735"/>
      <c r="Y35" s="1735">
        <f>IF($D35&lt;W36,0,IF($E35=0,0,-CUMPRINC($E35/12,$D35,$C35,W36,W37,0)))</f>
        <v>0</v>
      </c>
      <c r="Z35" s="1735"/>
      <c r="AA35" s="1735">
        <f>W35-Y35</f>
        <v>0</v>
      </c>
      <c r="AB35" s="1736">
        <f>IF($D35&lt;W36,0,IF($E35=0,0,-CUMIPMT($E35/12,$D35,$C35,W36,W37,0)))</f>
        <v>0</v>
      </c>
      <c r="AC35" s="1734"/>
      <c r="AD35" s="1735"/>
      <c r="AE35" s="1735">
        <f>IF($D35&lt;AC36,0,IF($E35=0,0,-CUMPRINC($E35/12,$D35,$C35,AC36,AC37,0)))</f>
        <v>0</v>
      </c>
      <c r="AF35" s="1735"/>
      <c r="AG35" s="1735">
        <f>AA35-AE35</f>
        <v>0</v>
      </c>
      <c r="AH35" s="1736">
        <f>IF($D35&lt;AC36,0,IF($E35=0,0,-CUMIPMT($E35/12,$D35,$C35,AC36,AC37,0)))</f>
        <v>0</v>
      </c>
      <c r="AI35" s="1734"/>
      <c r="AJ35" s="1735"/>
      <c r="AK35" s="1735">
        <f>IF($D35&lt;AI36,0,IF($E35=0,0,-CUMPRINC($E35/12,$D35,$C35,AI36,AI37,0)))</f>
        <v>0</v>
      </c>
      <c r="AL35" s="1735"/>
      <c r="AM35" s="1735">
        <f>AG35-AK35</f>
        <v>0</v>
      </c>
      <c r="AN35" s="1736">
        <f>IF($D35&lt;AI36,0,IF($E35=0,0,-CUMIPMT($E35/12,$D35,$C35,AI36,AI37,0)))</f>
        <v>0</v>
      </c>
    </row>
    <row r="36" spans="2:40" x14ac:dyDescent="0.25">
      <c r="B36" s="1689" t="s">
        <v>317</v>
      </c>
      <c r="C36" s="1237"/>
      <c r="D36" s="1690"/>
      <c r="E36" s="1237"/>
      <c r="F36" s="1720"/>
      <c r="G36" s="1721"/>
      <c r="H36" s="1720"/>
      <c r="I36" s="1720"/>
      <c r="J36" s="1720"/>
      <c r="K36" s="143"/>
      <c r="L36" s="1863"/>
      <c r="M36" s="171"/>
      <c r="N36" s="171"/>
      <c r="O36" s="171"/>
      <c r="P36" s="142"/>
      <c r="Q36" s="143"/>
      <c r="R36" s="1863"/>
      <c r="S36" s="171"/>
      <c r="T36" s="171"/>
      <c r="U36" s="171"/>
      <c r="V36" s="142"/>
      <c r="W36" s="143">
        <v>1</v>
      </c>
      <c r="X36" s="171"/>
      <c r="Y36" s="171"/>
      <c r="Z36" s="171"/>
      <c r="AA36" s="171"/>
      <c r="AB36" s="142"/>
      <c r="AC36" s="776">
        <v>13</v>
      </c>
      <c r="AD36" s="75"/>
      <c r="AE36" s="75"/>
      <c r="AF36" s="75"/>
      <c r="AG36" s="75"/>
      <c r="AH36" s="1737"/>
      <c r="AI36" s="776">
        <v>25</v>
      </c>
      <c r="AJ36" s="75"/>
      <c r="AK36" s="75"/>
      <c r="AL36" s="75"/>
      <c r="AM36" s="75"/>
      <c r="AN36" s="1737"/>
    </row>
    <row r="37" spans="2:40" ht="13.8" thickBot="1" x14ac:dyDescent="0.3">
      <c r="B37" s="1691" t="s">
        <v>318</v>
      </c>
      <c r="C37" s="1692"/>
      <c r="D37" s="1693"/>
      <c r="E37" s="1692"/>
      <c r="F37" s="1722"/>
      <c r="G37" s="1723"/>
      <c r="H37" s="1722"/>
      <c r="I37" s="1722"/>
      <c r="J37" s="1722"/>
      <c r="K37" s="785"/>
      <c r="L37" s="1864"/>
      <c r="M37" s="782"/>
      <c r="N37" s="782"/>
      <c r="O37" s="782"/>
      <c r="P37" s="783"/>
      <c r="Q37" s="785"/>
      <c r="R37" s="1864"/>
      <c r="S37" s="782"/>
      <c r="T37" s="782"/>
      <c r="U37" s="782"/>
      <c r="V37" s="783"/>
      <c r="W37" s="785">
        <v>12</v>
      </c>
      <c r="X37" s="782"/>
      <c r="Y37" s="782"/>
      <c r="Z37" s="782"/>
      <c r="AA37" s="782"/>
      <c r="AB37" s="783"/>
      <c r="AC37" s="777">
        <v>24</v>
      </c>
      <c r="AD37" s="795"/>
      <c r="AE37" s="795"/>
      <c r="AF37" s="795"/>
      <c r="AG37" s="795"/>
      <c r="AH37" s="1738"/>
      <c r="AI37" s="777">
        <v>36</v>
      </c>
      <c r="AJ37" s="795"/>
      <c r="AK37" s="795"/>
      <c r="AL37" s="795"/>
      <c r="AM37" s="795"/>
      <c r="AN37" s="1738"/>
    </row>
    <row r="38" spans="2:40" x14ac:dyDescent="0.25">
      <c r="B38" s="1685" t="s">
        <v>321</v>
      </c>
      <c r="C38" s="1686">
        <f>'2. T7 LAINAT'!C37</f>
        <v>0</v>
      </c>
      <c r="D38" s="1687">
        <f>'2. T7 LAINAT'!D37*12</f>
        <v>0</v>
      </c>
      <c r="E38" s="1688">
        <f>'2. T7 LAINAT'!E37</f>
        <v>0</v>
      </c>
      <c r="F38" s="1718"/>
      <c r="G38" s="1719"/>
      <c r="H38" s="1718"/>
      <c r="I38" s="1718"/>
      <c r="J38" s="1718"/>
      <c r="K38" s="1862"/>
      <c r="L38" s="1735"/>
      <c r="M38" s="1735"/>
      <c r="N38" s="1735"/>
      <c r="O38" s="1735"/>
      <c r="P38" s="1736"/>
      <c r="Q38" s="1734"/>
      <c r="R38" s="1735"/>
      <c r="S38" s="1735"/>
      <c r="T38" s="1735"/>
      <c r="U38" s="1735"/>
      <c r="V38" s="1736"/>
      <c r="W38" s="1734">
        <f>'2. T7 LAINAT'!L39</f>
        <v>0</v>
      </c>
      <c r="X38" s="1735"/>
      <c r="Y38" s="1735">
        <f>IF($E38=0,0,IF(W38=0,0,-CUMPRINC($E38/12,$D38,$C38,W39,W40,0)))</f>
        <v>0</v>
      </c>
      <c r="Z38" s="1735"/>
      <c r="AA38" s="1735">
        <f>W38-Y38</f>
        <v>0</v>
      </c>
      <c r="AB38" s="1736">
        <f>IF($E38=0,0,IF($W38=0,0,-CUMIPMT($E38/12,$D38,$C38,W39,W40,0)))</f>
        <v>0</v>
      </c>
      <c r="AC38" s="1734">
        <f>'2. T7 LAINAT'!O37</f>
        <v>0</v>
      </c>
      <c r="AD38" s="1735"/>
      <c r="AE38" s="1735">
        <f>IF($D38&lt;AC39,0,IF($E38=0,0,-CUMPRINC($E38/12,$D38,$C38,AC39,AC40,0)))</f>
        <v>0</v>
      </c>
      <c r="AF38" s="1735"/>
      <c r="AG38" s="1735">
        <f>AC38-AE38</f>
        <v>0</v>
      </c>
      <c r="AH38" s="1736">
        <f>IF($D38&lt;AC39,0,IF($E38=0,0,-CUMIPMT($E38/12,$D38,$C38,AC39,AC40,0)))</f>
        <v>0</v>
      </c>
      <c r="AI38" s="1734"/>
      <c r="AJ38" s="1735"/>
      <c r="AK38" s="1735">
        <f>IF($D38&lt;AI39,0,IF($E38=0,0,-CUMPRINC($E38/12,$D38,$C38,AI39,AI40,0)))</f>
        <v>0</v>
      </c>
      <c r="AL38" s="1735"/>
      <c r="AM38" s="1735">
        <f>AG38-AK38</f>
        <v>0</v>
      </c>
      <c r="AN38" s="1736">
        <f>IF($D38&lt;AI39,0,IF($E38=0,0,-CUMIPMT($E38/12,$D38,$C38,AI39,AI40,0)))</f>
        <v>0</v>
      </c>
    </row>
    <row r="39" spans="2:40" x14ac:dyDescent="0.25">
      <c r="B39" s="1689" t="s">
        <v>317</v>
      </c>
      <c r="C39" s="1237"/>
      <c r="D39" s="1690"/>
      <c r="E39" s="1237"/>
      <c r="F39" s="1720"/>
      <c r="G39" s="1721"/>
      <c r="H39" s="1720"/>
      <c r="I39" s="1720"/>
      <c r="J39" s="1720"/>
      <c r="K39" s="143"/>
      <c r="L39" s="1863"/>
      <c r="M39" s="171"/>
      <c r="N39" s="171"/>
      <c r="O39" s="171"/>
      <c r="P39" s="142"/>
      <c r="Q39" s="143"/>
      <c r="R39" s="1863"/>
      <c r="S39" s="171"/>
      <c r="T39" s="171"/>
      <c r="U39" s="171"/>
      <c r="V39" s="142"/>
      <c r="W39" s="143"/>
      <c r="X39" s="171"/>
      <c r="Y39" s="171"/>
      <c r="Z39" s="171"/>
      <c r="AA39" s="171"/>
      <c r="AB39" s="142"/>
      <c r="AC39" s="776">
        <v>1</v>
      </c>
      <c r="AD39" s="75"/>
      <c r="AE39" s="75"/>
      <c r="AF39" s="75"/>
      <c r="AG39" s="75"/>
      <c r="AH39" s="1737"/>
      <c r="AI39" s="776">
        <v>13</v>
      </c>
      <c r="AJ39" s="75"/>
      <c r="AK39" s="75"/>
      <c r="AL39" s="75"/>
      <c r="AM39" s="75"/>
      <c r="AN39" s="1737"/>
    </row>
    <row r="40" spans="2:40" ht="13.8" thickBot="1" x14ac:dyDescent="0.3">
      <c r="B40" s="1691" t="s">
        <v>318</v>
      </c>
      <c r="C40" s="1692"/>
      <c r="D40" s="1693"/>
      <c r="E40" s="1692"/>
      <c r="F40" s="1722"/>
      <c r="G40" s="1723"/>
      <c r="H40" s="1722"/>
      <c r="I40" s="1722"/>
      <c r="J40" s="1722"/>
      <c r="K40" s="785"/>
      <c r="L40" s="1864"/>
      <c r="M40" s="782"/>
      <c r="N40" s="782"/>
      <c r="O40" s="782"/>
      <c r="P40" s="783"/>
      <c r="Q40" s="785"/>
      <c r="R40" s="1864"/>
      <c r="S40" s="782"/>
      <c r="T40" s="782"/>
      <c r="U40" s="782"/>
      <c r="V40" s="783"/>
      <c r="W40" s="785"/>
      <c r="X40" s="782"/>
      <c r="Y40" s="782"/>
      <c r="Z40" s="782"/>
      <c r="AA40" s="782"/>
      <c r="AB40" s="783"/>
      <c r="AC40" s="777">
        <v>12</v>
      </c>
      <c r="AD40" s="795"/>
      <c r="AE40" s="795"/>
      <c r="AF40" s="795"/>
      <c r="AG40" s="795"/>
      <c r="AH40" s="1738"/>
      <c r="AI40" s="777">
        <v>24</v>
      </c>
      <c r="AJ40" s="795"/>
      <c r="AK40" s="795"/>
      <c r="AL40" s="795"/>
      <c r="AM40" s="795"/>
      <c r="AN40" s="1738"/>
    </row>
    <row r="41" spans="2:40" s="2" customFormat="1" x14ac:dyDescent="0.25">
      <c r="B41" s="173" t="s">
        <v>322</v>
      </c>
      <c r="C41" s="174"/>
      <c r="D41" s="175"/>
      <c r="E41" s="174"/>
      <c r="F41" s="1724"/>
      <c r="G41" s="1725"/>
      <c r="H41" s="1724"/>
      <c r="I41" s="1724"/>
      <c r="J41" s="1724"/>
      <c r="K41" s="1739">
        <f>K29+K32+K35+K38</f>
        <v>0</v>
      </c>
      <c r="L41" s="1740"/>
      <c r="M41" s="1740">
        <f>SUM(M29:M37)</f>
        <v>0</v>
      </c>
      <c r="N41" s="1740"/>
      <c r="O41" s="1740">
        <f>SUM(O29:O37)</f>
        <v>0</v>
      </c>
      <c r="P41" s="1741">
        <f>SUM(P29:P37)</f>
        <v>0</v>
      </c>
      <c r="Q41" s="1739">
        <f>Q29+Q32+Q35+Q38</f>
        <v>0</v>
      </c>
      <c r="R41" s="1740"/>
      <c r="S41" s="1740">
        <f>SUM(S29:S37)</f>
        <v>0</v>
      </c>
      <c r="T41" s="1740"/>
      <c r="U41" s="1740">
        <f>SUM(U29:U37)</f>
        <v>0</v>
      </c>
      <c r="V41" s="1741">
        <f>SUM(V29:V37)</f>
        <v>0</v>
      </c>
      <c r="W41" s="1739">
        <f>W29+W32+W35+W38</f>
        <v>0</v>
      </c>
      <c r="X41" s="1740"/>
      <c r="Y41" s="1740">
        <f>SUM(Y29:Y38)</f>
        <v>0</v>
      </c>
      <c r="Z41" s="1740"/>
      <c r="AA41" s="1740">
        <f>SUM(AA29:AA37)</f>
        <v>0</v>
      </c>
      <c r="AB41" s="1741">
        <f>SUM(AB29:AB37)</f>
        <v>0</v>
      </c>
      <c r="AC41" s="1739">
        <f>AC29+AC32+AC35+AC38</f>
        <v>0</v>
      </c>
      <c r="AD41" s="1740"/>
      <c r="AE41" s="1740">
        <f>AE29+AE32+AE35+AE38</f>
        <v>0</v>
      </c>
      <c r="AF41" s="1740"/>
      <c r="AG41" s="1740">
        <f>AG29+AG32+AG35+AG38</f>
        <v>0</v>
      </c>
      <c r="AH41" s="1741">
        <f>AH29+AH32+AH35+AH38</f>
        <v>0</v>
      </c>
      <c r="AI41" s="1739">
        <f>AI29+AI32+AI35+AI38</f>
        <v>0</v>
      </c>
      <c r="AJ41" s="1740"/>
      <c r="AK41" s="1740">
        <f>AK29+AK32+AK35+AK38</f>
        <v>0</v>
      </c>
      <c r="AL41" s="1740"/>
      <c r="AM41" s="1740">
        <f>AM29+AM32+AM35+AM38</f>
        <v>0</v>
      </c>
      <c r="AN41" s="1741">
        <f>AN29+AN32+AN35+AN38</f>
        <v>0</v>
      </c>
    </row>
    <row r="42" spans="2:40" s="2" customFormat="1" ht="13.8" thickBot="1" x14ac:dyDescent="0.3">
      <c r="B42" s="139"/>
      <c r="D42" s="240"/>
      <c r="F42" s="1724"/>
      <c r="G42" s="1725"/>
      <c r="H42" s="1724"/>
      <c r="I42" s="1724"/>
      <c r="J42" s="1724"/>
      <c r="K42" s="144"/>
      <c r="L42" s="144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144"/>
      <c r="Y42" s="144"/>
      <c r="Z42" s="144"/>
      <c r="AA42" s="144"/>
      <c r="AB42" s="144"/>
      <c r="AC42" s="144"/>
      <c r="AD42" s="144"/>
      <c r="AE42" s="144"/>
      <c r="AF42" s="144"/>
      <c r="AG42" s="144"/>
      <c r="AH42" s="144"/>
      <c r="AI42" s="144"/>
      <c r="AJ42" s="144"/>
      <c r="AK42" s="144"/>
      <c r="AL42" s="144"/>
      <c r="AM42" s="144"/>
      <c r="AN42" s="144"/>
    </row>
    <row r="43" spans="2:40" s="2" customFormat="1" ht="13.8" thickBot="1" x14ac:dyDescent="0.3">
      <c r="B43" s="139"/>
      <c r="D43" s="240"/>
      <c r="F43" s="2022">
        <f>F4</f>
        <v>0</v>
      </c>
      <c r="G43" s="2022"/>
      <c r="H43" s="2022"/>
      <c r="I43" s="2022"/>
      <c r="J43" s="2023"/>
      <c r="K43" s="2008">
        <f>K4</f>
        <v>2024</v>
      </c>
      <c r="L43" s="2009"/>
      <c r="M43" s="2009"/>
      <c r="N43" s="2009"/>
      <c r="O43" s="2009"/>
      <c r="P43" s="2010"/>
      <c r="Q43" s="2008">
        <f>Q4</f>
        <v>2025</v>
      </c>
      <c r="R43" s="2009"/>
      <c r="S43" s="2009"/>
      <c r="T43" s="2009"/>
      <c r="U43" s="2009"/>
      <c r="V43" s="2010"/>
      <c r="W43" s="2008">
        <f>W4</f>
        <v>2026</v>
      </c>
      <c r="X43" s="2009"/>
      <c r="Y43" s="2009"/>
      <c r="Z43" s="2009"/>
      <c r="AA43" s="2009"/>
      <c r="AB43" s="2010"/>
      <c r="AC43" s="2008">
        <f>AC4</f>
        <v>2027</v>
      </c>
      <c r="AD43" s="2009"/>
      <c r="AE43" s="2009"/>
      <c r="AF43" s="2009"/>
      <c r="AG43" s="2009"/>
      <c r="AH43" s="2010"/>
      <c r="AI43" s="2008">
        <f>AI4</f>
        <v>2028</v>
      </c>
      <c r="AJ43" s="2009"/>
      <c r="AK43" s="2009"/>
      <c r="AL43" s="2009"/>
      <c r="AM43" s="2009"/>
      <c r="AN43" s="2010"/>
    </row>
    <row r="44" spans="2:40" s="2" customFormat="1" x14ac:dyDescent="0.25">
      <c r="B44" s="139"/>
      <c r="D44" s="240"/>
      <c r="F44" s="1716"/>
      <c r="G44" s="1715"/>
      <c r="H44" s="1717" t="s">
        <v>315</v>
      </c>
      <c r="I44" s="1716"/>
      <c r="J44" s="1716"/>
      <c r="K44" s="251"/>
      <c r="L44" s="222"/>
      <c r="M44" s="252" t="s">
        <v>315</v>
      </c>
      <c r="N44" s="253"/>
      <c r="O44" s="253"/>
      <c r="P44" s="223"/>
      <c r="Q44" s="251"/>
      <c r="R44" s="222"/>
      <c r="S44" s="252" t="s">
        <v>315</v>
      </c>
      <c r="T44" s="253"/>
      <c r="U44" s="253"/>
      <c r="V44" s="223"/>
      <c r="W44" s="251"/>
      <c r="X44" s="222"/>
      <c r="Y44" s="252" t="s">
        <v>315</v>
      </c>
      <c r="Z44" s="253"/>
      <c r="AA44" s="253"/>
      <c r="AB44" s="223"/>
      <c r="AC44" s="251"/>
      <c r="AD44" s="222"/>
      <c r="AE44" s="252" t="s">
        <v>315</v>
      </c>
      <c r="AF44" s="253"/>
      <c r="AG44" s="253"/>
      <c r="AH44" s="223"/>
      <c r="AI44" s="251"/>
      <c r="AJ44" s="222"/>
      <c r="AK44" s="252" t="s">
        <v>315</v>
      </c>
      <c r="AL44" s="253"/>
      <c r="AM44" s="253"/>
      <c r="AN44" s="223"/>
    </row>
    <row r="45" spans="2:40" s="2" customFormat="1" ht="13.8" thickBot="1" x14ac:dyDescent="0.3">
      <c r="B45" s="139" t="s">
        <v>323</v>
      </c>
      <c r="D45" s="240"/>
      <c r="F45" s="1726" t="s">
        <v>307</v>
      </c>
      <c r="G45" s="1715"/>
      <c r="H45" s="1717" t="s">
        <v>324</v>
      </c>
      <c r="I45" s="1696" t="s">
        <v>325</v>
      </c>
      <c r="J45" s="1696" t="s">
        <v>326</v>
      </c>
      <c r="K45" s="258" t="s">
        <v>307</v>
      </c>
      <c r="L45" s="254"/>
      <c r="M45" s="255" t="s">
        <v>324</v>
      </c>
      <c r="N45" s="256" t="s">
        <v>325</v>
      </c>
      <c r="O45" s="256" t="s">
        <v>326</v>
      </c>
      <c r="P45" s="257"/>
      <c r="Q45" s="258" t="s">
        <v>307</v>
      </c>
      <c r="R45" s="254"/>
      <c r="S45" s="255" t="s">
        <v>324</v>
      </c>
      <c r="T45" s="256" t="s">
        <v>325</v>
      </c>
      <c r="U45" s="256" t="s">
        <v>326</v>
      </c>
      <c r="V45" s="257"/>
      <c r="W45" s="258" t="s">
        <v>307</v>
      </c>
      <c r="X45" s="254"/>
      <c r="Y45" s="255" t="s">
        <v>324</v>
      </c>
      <c r="Z45" s="256" t="s">
        <v>325</v>
      </c>
      <c r="AA45" s="256" t="s">
        <v>326</v>
      </c>
      <c r="AB45" s="257"/>
      <c r="AC45" s="258" t="s">
        <v>307</v>
      </c>
      <c r="AD45" s="254"/>
      <c r="AE45" s="255" t="s">
        <v>324</v>
      </c>
      <c r="AF45" s="256" t="s">
        <v>325</v>
      </c>
      <c r="AG45" s="256" t="s">
        <v>326</v>
      </c>
      <c r="AH45" s="257"/>
      <c r="AI45" s="258" t="s">
        <v>307</v>
      </c>
      <c r="AJ45" s="254"/>
      <c r="AK45" s="255" t="s">
        <v>324</v>
      </c>
      <c r="AL45" s="256" t="s">
        <v>325</v>
      </c>
      <c r="AM45" s="256" t="s">
        <v>326</v>
      </c>
      <c r="AN45" s="257"/>
    </row>
    <row r="46" spans="2:40" s="2" customFormat="1" x14ac:dyDescent="0.25">
      <c r="B46" s="139" t="s">
        <v>327</v>
      </c>
      <c r="D46" s="240"/>
      <c r="F46" s="1727"/>
      <c r="G46" s="1728"/>
      <c r="H46" s="1727"/>
      <c r="I46" s="1729" t="e">
        <f>#REF!</f>
        <v>#REF!</v>
      </c>
      <c r="J46" s="1715" t="e">
        <f>#REF!-I46</f>
        <v>#REF!</v>
      </c>
      <c r="K46" s="248"/>
      <c r="L46" s="249"/>
      <c r="M46" s="249"/>
      <c r="N46" s="249" t="e">
        <f>#REF!</f>
        <v>#REF!</v>
      </c>
      <c r="O46" s="249" t="e">
        <f>#REF!</f>
        <v>#REF!</v>
      </c>
      <c r="P46" s="250"/>
      <c r="Q46" s="249"/>
      <c r="R46" s="249"/>
      <c r="S46" s="249">
        <f>S29</f>
        <v>0</v>
      </c>
      <c r="T46" s="249" t="e">
        <f>#REF!</f>
        <v>#REF!</v>
      </c>
      <c r="U46" s="249" t="e">
        <f>#REF!</f>
        <v>#REF!</v>
      </c>
      <c r="V46" s="250"/>
      <c r="W46" s="248"/>
      <c r="X46" s="249"/>
      <c r="Y46" s="249"/>
      <c r="Z46" s="249" t="e">
        <f>#REF!</f>
        <v>#REF!</v>
      </c>
      <c r="AA46" s="249" t="e">
        <f>#REF!</f>
        <v>#REF!</v>
      </c>
      <c r="AB46" s="250"/>
      <c r="AC46" s="248"/>
      <c r="AD46" s="249"/>
      <c r="AE46" s="249"/>
      <c r="AF46" s="249" t="e">
        <f>#REF!</f>
        <v>#REF!</v>
      </c>
      <c r="AG46" s="249" t="e">
        <f>#REF!</f>
        <v>#REF!</v>
      </c>
      <c r="AH46" s="250"/>
      <c r="AI46" s="248"/>
      <c r="AJ46" s="249"/>
      <c r="AK46" s="249"/>
      <c r="AL46" s="249"/>
      <c r="AM46" s="249"/>
      <c r="AN46" s="250"/>
    </row>
    <row r="47" spans="2:40" s="2" customFormat="1" x14ac:dyDescent="0.25">
      <c r="B47" s="139" t="s">
        <v>316</v>
      </c>
      <c r="D47" s="240"/>
      <c r="F47" s="1727"/>
      <c r="G47" s="1728"/>
      <c r="H47" s="1727"/>
      <c r="I47" s="1727"/>
      <c r="J47" s="1727"/>
      <c r="K47" s="245">
        <f>K29</f>
        <v>0</v>
      </c>
      <c r="L47" s="176"/>
      <c r="M47" s="176">
        <f>M29</f>
        <v>0</v>
      </c>
      <c r="N47" s="176">
        <f>IF(O29&gt;0,S29,0)</f>
        <v>0</v>
      </c>
      <c r="O47" s="176"/>
      <c r="P47" s="246"/>
      <c r="Q47" s="176">
        <f>Q29</f>
        <v>0</v>
      </c>
      <c r="R47" s="176"/>
      <c r="S47" s="176">
        <f>IF(Q47&gt;0,S29,0)</f>
        <v>0</v>
      </c>
      <c r="T47" s="176">
        <f>IF(O29&gt;0,Y29,0)</f>
        <v>0</v>
      </c>
      <c r="U47" s="249">
        <f>AA29</f>
        <v>0</v>
      </c>
      <c r="V47" s="246"/>
      <c r="W47" s="176">
        <f>W29</f>
        <v>0</v>
      </c>
      <c r="X47" s="176"/>
      <c r="Y47" s="176">
        <f>IF(W47&gt;0,Y29,0)</f>
        <v>0</v>
      </c>
      <c r="Z47" s="176">
        <f>IF(U29&gt;0,AE29,0)</f>
        <v>0</v>
      </c>
      <c r="AA47" s="249">
        <f>AG29</f>
        <v>0</v>
      </c>
      <c r="AB47" s="246"/>
      <c r="AC47" s="176">
        <f>AC29</f>
        <v>0</v>
      </c>
      <c r="AD47" s="176"/>
      <c r="AE47" s="176">
        <f>IF(AC47&gt;0,AE29,0)</f>
        <v>0</v>
      </c>
      <c r="AF47" s="176">
        <f>IF(AA29&gt;0,AK29,0)</f>
        <v>0</v>
      </c>
      <c r="AG47" s="249">
        <f>AM29</f>
        <v>0</v>
      </c>
      <c r="AH47" s="246"/>
      <c r="AI47" s="176">
        <f>AI29</f>
        <v>0</v>
      </c>
      <c r="AJ47" s="176"/>
      <c r="AK47" s="176">
        <f>IF(AI47&gt;0,AK29,0)</f>
        <v>0</v>
      </c>
      <c r="AL47" s="176">
        <f>IF(AG29&gt;0,AQ29,0)</f>
        <v>0</v>
      </c>
      <c r="AM47" s="249">
        <f>AS29</f>
        <v>0</v>
      </c>
      <c r="AN47" s="246"/>
    </row>
    <row r="48" spans="2:40" s="2" customFormat="1" x14ac:dyDescent="0.25">
      <c r="B48" s="139" t="s">
        <v>319</v>
      </c>
      <c r="D48" s="240"/>
      <c r="F48" s="1727"/>
      <c r="G48" s="1728"/>
      <c r="H48" s="1727"/>
      <c r="I48" s="1727"/>
      <c r="J48" s="1727"/>
      <c r="K48" s="245"/>
      <c r="L48" s="176"/>
      <c r="M48" s="176"/>
      <c r="N48" s="176">
        <f>IF(O32&gt;0,S32,0)</f>
        <v>0</v>
      </c>
      <c r="O48" s="176"/>
      <c r="P48" s="246"/>
      <c r="Q48" s="176">
        <f>Q32</f>
        <v>0</v>
      </c>
      <c r="R48" s="176"/>
      <c r="S48" s="176">
        <f>IF(Q48&gt;0,S32,0)</f>
        <v>0</v>
      </c>
      <c r="T48" s="176">
        <f>IF(O32&gt;0,Y32,0)</f>
        <v>0</v>
      </c>
      <c r="U48" s="249">
        <f>AA32</f>
        <v>0</v>
      </c>
      <c r="V48" s="246"/>
      <c r="W48" s="176">
        <f>W32</f>
        <v>0</v>
      </c>
      <c r="X48" s="176"/>
      <c r="Y48" s="176">
        <f>IF(W48&gt;0,Y32,0)</f>
        <v>0</v>
      </c>
      <c r="Z48" s="176">
        <f>IF(U32&gt;0,AE32,0)</f>
        <v>0</v>
      </c>
      <c r="AA48" s="249">
        <f>AG32</f>
        <v>0</v>
      </c>
      <c r="AB48" s="246"/>
      <c r="AC48" s="176">
        <f>AC32</f>
        <v>0</v>
      </c>
      <c r="AD48" s="176"/>
      <c r="AE48" s="176">
        <f>IF(AC48&gt;0,AE32,0)</f>
        <v>0</v>
      </c>
      <c r="AF48" s="176">
        <f>IF(AA32&gt;0,AK32,0)</f>
        <v>0</v>
      </c>
      <c r="AG48" s="249">
        <f>AM32</f>
        <v>0</v>
      </c>
      <c r="AH48" s="246"/>
      <c r="AI48" s="176">
        <f>AI32</f>
        <v>0</v>
      </c>
      <c r="AJ48" s="176"/>
      <c r="AK48" s="176">
        <f>IF(AI48&gt;0,AK32,0)</f>
        <v>0</v>
      </c>
      <c r="AL48" s="176">
        <f>IF(AG32&gt;0,AQ32,0)</f>
        <v>0</v>
      </c>
      <c r="AM48" s="249">
        <f>AS32</f>
        <v>0</v>
      </c>
      <c r="AN48" s="246"/>
    </row>
    <row r="49" spans="2:40" s="2" customFormat="1" x14ac:dyDescent="0.25">
      <c r="B49" s="139" t="s">
        <v>320</v>
      </c>
      <c r="D49" s="240"/>
      <c r="F49" s="1727"/>
      <c r="G49" s="1728"/>
      <c r="H49" s="1727"/>
      <c r="I49" s="1727"/>
      <c r="J49" s="1727"/>
      <c r="K49" s="245"/>
      <c r="L49" s="176"/>
      <c r="M49" s="176"/>
      <c r="N49" s="176">
        <f>IF(O35&gt;0,S35,0)</f>
        <v>0</v>
      </c>
      <c r="O49" s="176"/>
      <c r="P49" s="246"/>
      <c r="Q49" s="176">
        <f>Q35</f>
        <v>0</v>
      </c>
      <c r="R49" s="176"/>
      <c r="S49" s="176">
        <f>IF(Q49&gt;0,S35,0)</f>
        <v>0</v>
      </c>
      <c r="T49" s="176">
        <f>IF(O35&gt;0,Y35,0)</f>
        <v>0</v>
      </c>
      <c r="U49" s="249">
        <f>AA35</f>
        <v>0</v>
      </c>
      <c r="V49" s="246"/>
      <c r="W49" s="176">
        <f>W35</f>
        <v>0</v>
      </c>
      <c r="X49" s="176"/>
      <c r="Y49" s="176">
        <f>IF(W49&gt;0,Y35,0)</f>
        <v>0</v>
      </c>
      <c r="Z49" s="176">
        <f>IF(U35&gt;0,AE35,0)</f>
        <v>0</v>
      </c>
      <c r="AA49" s="249">
        <f>AG35</f>
        <v>0</v>
      </c>
      <c r="AB49" s="246"/>
      <c r="AC49" s="176">
        <f>AC35</f>
        <v>0</v>
      </c>
      <c r="AD49" s="176"/>
      <c r="AE49" s="176">
        <f>IF(AC49&gt;0,AE35,0)</f>
        <v>0</v>
      </c>
      <c r="AF49" s="176">
        <f>IF(AA35&gt;0,AK35,0)</f>
        <v>0</v>
      </c>
      <c r="AG49" s="249">
        <f>AM35</f>
        <v>0</v>
      </c>
      <c r="AH49" s="246"/>
      <c r="AI49" s="176">
        <f>AI35</f>
        <v>0</v>
      </c>
      <c r="AJ49" s="176"/>
      <c r="AK49" s="176">
        <f>IF(AI49&gt;0,AK35,0)</f>
        <v>0</v>
      </c>
      <c r="AL49" s="176">
        <f>IF(AG35&gt;0,AQ35,0)</f>
        <v>0</v>
      </c>
      <c r="AM49" s="249">
        <f>AS35</f>
        <v>0</v>
      </c>
      <c r="AN49" s="246"/>
    </row>
    <row r="50" spans="2:40" s="2" customFormat="1" x14ac:dyDescent="0.25">
      <c r="B50" s="139" t="s">
        <v>321</v>
      </c>
      <c r="D50" s="240"/>
      <c r="F50" s="1727"/>
      <c r="G50" s="1728"/>
      <c r="H50" s="1727"/>
      <c r="I50" s="1727"/>
      <c r="J50" s="1727"/>
      <c r="K50" s="245"/>
      <c r="L50" s="176"/>
      <c r="M50" s="176"/>
      <c r="N50" s="176">
        <f>IF(O38&gt;0,S38,0)</f>
        <v>0</v>
      </c>
      <c r="O50" s="176"/>
      <c r="P50" s="246"/>
      <c r="Q50" s="176">
        <f>Q38</f>
        <v>0</v>
      </c>
      <c r="R50" s="176"/>
      <c r="S50" s="176">
        <f>IF(Q50&gt;0,S38,0)</f>
        <v>0</v>
      </c>
      <c r="T50" s="176">
        <f>IF(O38&gt;0,Y38,0)</f>
        <v>0</v>
      </c>
      <c r="U50" s="249">
        <f>AA38</f>
        <v>0</v>
      </c>
      <c r="V50" s="246"/>
      <c r="W50" s="176">
        <f>W38</f>
        <v>0</v>
      </c>
      <c r="X50" s="176"/>
      <c r="Y50" s="176">
        <f>IF(W50&gt;0,Y38,0)</f>
        <v>0</v>
      </c>
      <c r="Z50" s="176">
        <f>IF(U38&gt;0,AE38,0)</f>
        <v>0</v>
      </c>
      <c r="AA50" s="249">
        <f>AG38</f>
        <v>0</v>
      </c>
      <c r="AB50" s="246"/>
      <c r="AC50" s="176">
        <f>AC38</f>
        <v>0</v>
      </c>
      <c r="AD50" s="176"/>
      <c r="AE50" s="176">
        <f>IF(AC50&gt;0,AE38,0)</f>
        <v>0</v>
      </c>
      <c r="AF50" s="176">
        <f>IF(AA38&gt;0,AK38,0)</f>
        <v>0</v>
      </c>
      <c r="AG50" s="249">
        <f>AM38</f>
        <v>0</v>
      </c>
      <c r="AH50" s="246"/>
      <c r="AI50" s="176">
        <f>AI38</f>
        <v>0</v>
      </c>
      <c r="AJ50" s="176"/>
      <c r="AK50" s="176">
        <f>IF(AI50&gt;0,AK38,0)</f>
        <v>0</v>
      </c>
      <c r="AL50" s="176">
        <f>IF(AG38&gt;0,AQ38,0)</f>
        <v>0</v>
      </c>
      <c r="AM50" s="249">
        <f>AS38</f>
        <v>0</v>
      </c>
      <c r="AN50" s="246"/>
    </row>
    <row r="51" spans="2:40" s="2" customFormat="1" x14ac:dyDescent="0.25">
      <c r="B51" s="139"/>
      <c r="D51" s="240"/>
      <c r="G51" s="165"/>
      <c r="K51" s="244">
        <f>SUM(K46:K50)</f>
        <v>0</v>
      </c>
      <c r="L51" s="244"/>
      <c r="M51" s="244">
        <f>SUM(M46:M50)</f>
        <v>0</v>
      </c>
      <c r="N51" s="244" t="e">
        <f>SUM(N46:N50)</f>
        <v>#REF!</v>
      </c>
      <c r="O51" s="244" t="e">
        <f>SUM(O46:O50)</f>
        <v>#REF!</v>
      </c>
      <c r="P51" s="247"/>
      <c r="Q51" s="244">
        <f>SUM(Q46:Q50)</f>
        <v>0</v>
      </c>
      <c r="R51" s="244"/>
      <c r="S51" s="244">
        <f>SUM(S46:S50)</f>
        <v>0</v>
      </c>
      <c r="T51" s="244" t="e">
        <f>SUM(T46:T50)</f>
        <v>#REF!</v>
      </c>
      <c r="U51" s="244" t="e">
        <f>SUM(U46:U50)</f>
        <v>#REF!</v>
      </c>
      <c r="V51" s="247"/>
      <c r="W51" s="244">
        <f>SUM(W46:W50)</f>
        <v>0</v>
      </c>
      <c r="X51" s="244"/>
      <c r="Y51" s="244">
        <f>SUM(Y46:Y50)</f>
        <v>0</v>
      </c>
      <c r="Z51" s="244" t="e">
        <f>SUM(Z46:Z50)</f>
        <v>#REF!</v>
      </c>
      <c r="AA51" s="244" t="e">
        <f>SUM(AA46:AA50)</f>
        <v>#REF!</v>
      </c>
      <c r="AB51" s="247"/>
      <c r="AC51" s="244">
        <f>SUM(AC46:AC50)</f>
        <v>0</v>
      </c>
      <c r="AD51" s="244"/>
      <c r="AE51" s="244">
        <f>SUM(AE46:AE50)</f>
        <v>0</v>
      </c>
      <c r="AF51" s="244" t="e">
        <f>SUM(AF46:AF50)</f>
        <v>#REF!</v>
      </c>
      <c r="AG51" s="244" t="e">
        <f>SUM(AG46:AG50)</f>
        <v>#REF!</v>
      </c>
      <c r="AH51" s="247"/>
      <c r="AI51" s="244">
        <f>SUM(AI46:AI50)</f>
        <v>0</v>
      </c>
      <c r="AJ51" s="244"/>
      <c r="AK51" s="244">
        <f>SUM(AK46:AK50)</f>
        <v>0</v>
      </c>
      <c r="AL51" s="176">
        <f>IF(AM39&gt;0,AQ39,0)</f>
        <v>0</v>
      </c>
      <c r="AM51" s="244">
        <f>SUM(AM46:AM50)</f>
        <v>0</v>
      </c>
      <c r="AN51" s="247"/>
    </row>
    <row r="52" spans="2:40" s="2" customFormat="1" x14ac:dyDescent="0.25">
      <c r="B52" s="139"/>
      <c r="D52" s="240"/>
      <c r="G52" s="165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</row>
    <row r="53" spans="2:40" x14ac:dyDescent="0.25">
      <c r="B53" s="1774"/>
      <c r="C53" s="105"/>
      <c r="D53" s="1684"/>
      <c r="E53" s="1684"/>
      <c r="F53" s="1684"/>
      <c r="G53" s="1684"/>
      <c r="H53" s="1684"/>
      <c r="I53" s="1684"/>
      <c r="K53" s="1684"/>
      <c r="L53" s="1684"/>
      <c r="M53" s="1684"/>
      <c r="N53" s="1684"/>
      <c r="O53" s="1684"/>
    </row>
    <row r="54" spans="2:40" x14ac:dyDescent="0.25">
      <c r="B54" s="1865"/>
      <c r="C54" s="105"/>
      <c r="D54" s="106"/>
      <c r="E54" s="106"/>
      <c r="F54" s="106"/>
    </row>
    <row r="55" spans="2:40" s="2" customFormat="1" x14ac:dyDescent="0.25">
      <c r="B55" s="24" t="s">
        <v>328</v>
      </c>
      <c r="C55" s="39" t="s">
        <v>3</v>
      </c>
      <c r="D55" s="39"/>
      <c r="E55" s="39">
        <f>'7. T2 TULOSSUUN.'!G8</f>
        <v>2024</v>
      </c>
      <c r="F55" s="39"/>
      <c r="G55" s="39">
        <f>'7. T2 TULOSSUUN.'!I8</f>
        <v>2025</v>
      </c>
      <c r="H55" s="39"/>
      <c r="I55" s="39">
        <f>'7. T2 TULOSSUUN.'!K8</f>
        <v>2026</v>
      </c>
      <c r="J55" s="39"/>
      <c r="K55" s="39">
        <f>'7. T2 TULOSSUUN.'!M8</f>
        <v>2027</v>
      </c>
    </row>
    <row r="56" spans="2:40" x14ac:dyDescent="0.25">
      <c r="B56" s="1730" t="s">
        <v>329</v>
      </c>
      <c r="C56" s="2005"/>
      <c r="D56" s="2006"/>
      <c r="E56" s="2007">
        <f>'3. E1 KUSTANNUKSET'!D47+'3. E1 KUSTANNUKSET'!D50+'3. E1 KUSTANNUKSET'!D53+'3. E1 KUSTANNUKSET'!D56+'3. E1 KUSTANNUKSET'!D57+'3. E1 KUSTANNUKSET'!D58+'3. E1 KUSTANNUKSET'!D59+'3. E1 KUSTANNUKSET'!D60+'3. E1 KUSTANNUKSET'!D61+'3. E1 KUSTANNUKSET'!D62+'3. E1 KUSTANNUKSET'!D65+'3. E1 KUSTANNUKSET'!D71+'3. E1 KUSTANNUKSET'!D77+'3. E1 KUSTANNUKSET'!D78+'3. E1 KUSTANNUKSET'!D79+'3. E1 KUSTANNUKSET'!D81+'3. E1 KUSTANNUKSET'!D82+'3. E1 KUSTANNUKSET'!D94+'3. E1 KUSTANNUKSET'!D95+'3. E1 KUSTANNUKSET'!D101+'3. E1 KUSTANNUKSET'!D106+'3. E1 KUSTANNUKSET'!D115+'3. E1 KUSTANNUKSET'!D116+'3. E1 KUSTANNUKSET'!D117+'3. E1 KUSTANNUKSET'!D123+'3. E1 KUSTANNUKSET'!D124+'3. E1 KUSTANNUKSET'!D125+'3. E1 KUSTANNUKSET'!D128</f>
        <v>0</v>
      </c>
      <c r="F56" s="2006"/>
      <c r="G56" s="2007">
        <f>'3. E1 KUSTANNUKSET'!F47+'3. E1 KUSTANNUKSET'!F50+'3. E1 KUSTANNUKSET'!F53+'3. E1 KUSTANNUKSET'!F56+'3. E1 KUSTANNUKSET'!F57+'3. E1 KUSTANNUKSET'!F58+'3. E1 KUSTANNUKSET'!F59+'3. E1 KUSTANNUKSET'!F60+'3. E1 KUSTANNUKSET'!F61+'3. E1 KUSTANNUKSET'!F62+'3. E1 KUSTANNUKSET'!F65+'3. E1 KUSTANNUKSET'!F71+'3. E1 KUSTANNUKSET'!F77+'3. E1 KUSTANNUKSET'!F78+'3. E1 KUSTANNUKSET'!F79+'3. E1 KUSTANNUKSET'!F81+'3. E1 KUSTANNUKSET'!F82+'3. E1 KUSTANNUKSET'!F94+'3. E1 KUSTANNUKSET'!F95+'3. E1 KUSTANNUKSET'!F101+'3. E1 KUSTANNUKSET'!F106+'3. E1 KUSTANNUKSET'!F115+'3. E1 KUSTANNUKSET'!F116+'3. E1 KUSTANNUKSET'!F117+'3. E1 KUSTANNUKSET'!F123+'3. E1 KUSTANNUKSET'!F124+'3. E1 KUSTANNUKSET'!F125+'3. E1 KUSTANNUKSET'!F128</f>
        <v>0</v>
      </c>
      <c r="H56" s="2006"/>
      <c r="I56" s="2007">
        <f>'3. E1 KUSTANNUKSET'!H47+'3. E1 KUSTANNUKSET'!H50+'3. E1 KUSTANNUKSET'!H53+'3. E1 KUSTANNUKSET'!H56+'3. E1 KUSTANNUKSET'!H57+'3. E1 KUSTANNUKSET'!H58+'3. E1 KUSTANNUKSET'!H59+'3. E1 KUSTANNUKSET'!H60+'3. E1 KUSTANNUKSET'!H61+'3. E1 KUSTANNUKSET'!H62+'3. E1 KUSTANNUKSET'!H65+'3. E1 KUSTANNUKSET'!H71+'3. E1 KUSTANNUKSET'!H77+'3. E1 KUSTANNUKSET'!H78+'3. E1 KUSTANNUKSET'!H79+'3. E1 KUSTANNUKSET'!H81+'3. E1 KUSTANNUKSET'!H82+'3. E1 KUSTANNUKSET'!H94+'3. E1 KUSTANNUKSET'!H95+'3. E1 KUSTANNUKSET'!H101+'3. E1 KUSTANNUKSET'!H106+'3. E1 KUSTANNUKSET'!H115+'3. E1 KUSTANNUKSET'!H116+'3. E1 KUSTANNUKSET'!H117+'3. E1 KUSTANNUKSET'!H123+'3. E1 KUSTANNUKSET'!H124+'3. E1 KUSTANNUKSET'!H125+'3. E1 KUSTANNUKSET'!H128</f>
        <v>0</v>
      </c>
      <c r="J56" s="2006"/>
      <c r="K56" s="2030">
        <f>'3. E1 KUSTANNUKSET'!J47+'3. E1 KUSTANNUKSET'!J50+'3. E1 KUSTANNUKSET'!J53+'3. E1 KUSTANNUKSET'!J56+'3. E1 KUSTANNUKSET'!J57+'3. E1 KUSTANNUKSET'!J58+'3. E1 KUSTANNUKSET'!J59+'3. E1 KUSTANNUKSET'!J60+'3. E1 KUSTANNUKSET'!J61+'3. E1 KUSTANNUKSET'!J62+'3. E1 KUSTANNUKSET'!J65+'3. E1 KUSTANNUKSET'!J71+'3. E1 KUSTANNUKSET'!J77+'3. E1 KUSTANNUKSET'!J78+'3. E1 KUSTANNUKSET'!J79+'3. E1 KUSTANNUKSET'!J81+'3. E1 KUSTANNUKSET'!J82+'3. E1 KUSTANNUKSET'!J94+'3. E1 KUSTANNUKSET'!J95+'3. E1 KUSTANNUKSET'!J101+'3. E1 KUSTANNUKSET'!J106+'3. E1 KUSTANNUKSET'!J115+'3. E1 KUSTANNUKSET'!J116+'3. E1 KUSTANNUKSET'!J117+'3. E1 KUSTANNUKSET'!J123+'3. E1 KUSTANNUKSET'!J124+'3. E1 KUSTANNUKSET'!J125+'3. E1 KUSTANNUKSET'!J128</f>
        <v>0</v>
      </c>
      <c r="L56" s="2030"/>
    </row>
    <row r="57" spans="2:40" x14ac:dyDescent="0.25">
      <c r="B57" s="1730" t="s">
        <v>292</v>
      </c>
      <c r="C57" s="1762"/>
      <c r="D57" s="1763"/>
      <c r="E57" s="2007">
        <f>E56*'8. T5 KASSABUDJETTI'!$F$35%</f>
        <v>0</v>
      </c>
      <c r="F57" s="2006"/>
      <c r="G57" s="2007">
        <f>G56*'8. T5 KASSABUDJETTI'!$F$35%</f>
        <v>0</v>
      </c>
      <c r="H57" s="2005"/>
      <c r="I57" s="2007">
        <f>I56*'8. T5 KASSABUDJETTI'!$F$35%</f>
        <v>0</v>
      </c>
      <c r="J57" s="2005"/>
      <c r="K57" s="2030">
        <f>K56*'8. T5 KASSABUDJETTI'!$F$35%</f>
        <v>0</v>
      </c>
      <c r="L57" s="2030"/>
    </row>
    <row r="58" spans="2:40" x14ac:dyDescent="0.25">
      <c r="B58" s="1730" t="s">
        <v>330</v>
      </c>
      <c r="C58" s="1731"/>
      <c r="D58" s="372"/>
      <c r="E58" s="2024">
        <f>'3. E1 KUSTANNUKSET'!D48+'3. E1 KUSTANNUKSET'!D49+'3. E1 KUSTANNUKSET'!D51+'3. E1 KUSTANNUKSET'!D87+'3. E1 KUSTANNUKSET'!D88+'3. E1 KUSTANNUKSET'!D89+'3. E1 KUSTANNUKSET'!D63*0.003+'3. E1 KUSTANNUKSET'!D64+'3. E1 KUSTANNUKSET'!D80+'3. E1 KUSTANNUKSET'!D90+'3. E1 KUSTANNUKSET'!D93+'3. E1 KUSTANNUKSET'!D111+'3. E1 KUSTANNUKSET'!D118+'3. E1 KUSTANNUKSET'!D119+'3. E1 KUSTANNUKSET'!D126+'3. E1 KUSTANNUKSET'!D130</f>
        <v>0</v>
      </c>
      <c r="F58" s="2025"/>
      <c r="G58" s="2024">
        <f>'3. E1 KUSTANNUKSET'!F48+'3. E1 KUSTANNUKSET'!F49+'3. E1 KUSTANNUKSET'!F51+'3. E1 KUSTANNUKSET'!F87+'3. E1 KUSTANNUKSET'!F88+'3. E1 KUSTANNUKSET'!F89+'3. E1 KUSTANNUKSET'!F63*0.003+'3. E1 KUSTANNUKSET'!F64+'3. E1 KUSTANNUKSET'!F80+'3. E1 KUSTANNUKSET'!F90+'3. E1 KUSTANNUKSET'!F93+'3. E1 KUSTANNUKSET'!F111+'3. E1 KUSTANNUKSET'!F118+'3. E1 KUSTANNUKSET'!F119+'3. E1 KUSTANNUKSET'!F126+'3. E1 KUSTANNUKSET'!F130</f>
        <v>0</v>
      </c>
      <c r="H58" s="2025"/>
      <c r="I58" s="2024">
        <f>'3. E1 KUSTANNUKSET'!H48+'3. E1 KUSTANNUKSET'!H49+'3. E1 KUSTANNUKSET'!H51+'3. E1 KUSTANNUKSET'!H87+'3. E1 KUSTANNUKSET'!H88+'3. E1 KUSTANNUKSET'!H89+'3. E1 KUSTANNUKSET'!H63*0.003+'3. E1 KUSTANNUKSET'!H64+'3. E1 KUSTANNUKSET'!H80+'3. E1 KUSTANNUKSET'!H90+'3. E1 KUSTANNUKSET'!H93+'3. E1 KUSTANNUKSET'!H111+'3. E1 KUSTANNUKSET'!H118+'3. E1 KUSTANNUKSET'!H119+'3. E1 KUSTANNUKSET'!H126+'3. E1 KUSTANNUKSET'!H130</f>
        <v>0</v>
      </c>
      <c r="J58" s="2025"/>
      <c r="K58" s="2035">
        <f>'3. E1 KUSTANNUKSET'!J48+'3. E1 KUSTANNUKSET'!J49+'3. E1 KUSTANNUKSET'!J51+'3. E1 KUSTANNUKSET'!J87+'3. E1 KUSTANNUKSET'!J88+'3. E1 KUSTANNUKSET'!J89+'3. E1 KUSTANNUKSET'!J63*0.003+'3. E1 KUSTANNUKSET'!J64+'3. E1 KUSTANNUKSET'!J80+'3. E1 KUSTANNUKSET'!J90+'3. E1 KUSTANNUKSET'!J93+'3. E1 KUSTANNUKSET'!J111+'3. E1 KUSTANNUKSET'!J118+'3. E1 KUSTANNUKSET'!J119+'3. E1 KUSTANNUKSET'!J126+'3. E1 KUSTANNUKSET'!J130</f>
        <v>0</v>
      </c>
      <c r="L58" s="2035"/>
    </row>
    <row r="59" spans="2:40" x14ac:dyDescent="0.25">
      <c r="B59" s="325" t="s">
        <v>331</v>
      </c>
      <c r="C59" s="1732"/>
      <c r="D59" s="371"/>
      <c r="E59" s="2028">
        <f>E56-'3. E1 KUSTANNUKSET'!D53-'3. E1 KUSTANNUKSET'!D65-'3. E1 KUSTANNUKSET'!D77</f>
        <v>0</v>
      </c>
      <c r="F59" s="2028"/>
      <c r="G59" s="2028">
        <f>G56-'3. E1 KUSTANNUKSET'!F53-'3. E1 KUSTANNUKSET'!F65-'3. E1 KUSTANNUKSET'!F77</f>
        <v>0</v>
      </c>
      <c r="H59" s="2029"/>
      <c r="I59" s="2028">
        <f>I56-'3. E1 KUSTANNUKSET'!H53-'3. E1 KUSTANNUKSET'!H65-'3. E1 KUSTANNUKSET'!H77</f>
        <v>0</v>
      </c>
      <c r="J59" s="2029"/>
      <c r="K59" s="2028">
        <f>K56-'3. E1 KUSTANNUKSET'!J53-'3. E1 KUSTANNUKSET'!J65-'3. E1 KUSTANNUKSET'!J77</f>
        <v>0</v>
      </c>
      <c r="L59" s="2028"/>
    </row>
    <row r="60" spans="2:40" x14ac:dyDescent="0.25">
      <c r="B60" s="4"/>
      <c r="C60" s="105"/>
      <c r="D60" s="106"/>
      <c r="E60" s="106"/>
      <c r="F60" s="106"/>
    </row>
    <row r="61" spans="2:40" ht="13.8" thickBot="1" x14ac:dyDescent="0.3">
      <c r="B61" s="535"/>
      <c r="C61" s="39"/>
      <c r="D61" s="39"/>
      <c r="E61" s="39"/>
      <c r="F61" s="39"/>
      <c r="G61" s="39"/>
      <c r="H61" s="39"/>
      <c r="J61" s="1856"/>
      <c r="K61" s="27"/>
      <c r="L61" s="27"/>
      <c r="M61" s="18"/>
      <c r="N61" s="27"/>
      <c r="O61" s="1853"/>
      <c r="P61" s="27"/>
      <c r="Q61" s="1853"/>
      <c r="R61" s="27"/>
    </row>
    <row r="62" spans="2:40" x14ac:dyDescent="0.25">
      <c r="B62" s="166"/>
      <c r="D62" s="106"/>
      <c r="J62" s="172" t="s">
        <v>332</v>
      </c>
      <c r="K62" s="2033" t="s">
        <v>333</v>
      </c>
      <c r="L62" s="2034"/>
      <c r="M62" s="2033" t="s">
        <v>334</v>
      </c>
      <c r="N62" s="2034"/>
      <c r="O62" s="2033" t="s">
        <v>20</v>
      </c>
      <c r="P62" s="2034"/>
      <c r="Q62" s="2033" t="s">
        <v>21</v>
      </c>
      <c r="R62" s="2034"/>
      <c r="S62" s="2033" t="str">
        <f>AC3</f>
        <v>Ennuste 4</v>
      </c>
      <c r="T62" s="2034"/>
    </row>
    <row r="63" spans="2:40" x14ac:dyDescent="0.25">
      <c r="B63" s="166"/>
      <c r="D63" s="106"/>
      <c r="E63" s="106"/>
      <c r="F63" s="106"/>
      <c r="G63" s="106"/>
      <c r="J63" s="29"/>
      <c r="K63" s="2031">
        <f>F4</f>
        <v>0</v>
      </c>
      <c r="L63" s="2032"/>
      <c r="M63" s="2031">
        <f>K4</f>
        <v>2024</v>
      </c>
      <c r="N63" s="2032"/>
      <c r="O63" s="2031">
        <f>Q4</f>
        <v>2025</v>
      </c>
      <c r="P63" s="2032"/>
      <c r="Q63" s="2031">
        <f>W4</f>
        <v>2026</v>
      </c>
      <c r="R63" s="2032"/>
      <c r="S63" s="2031">
        <f>AC4</f>
        <v>2027</v>
      </c>
      <c r="T63" s="2032"/>
    </row>
    <row r="64" spans="2:40" x14ac:dyDescent="0.25">
      <c r="B64" s="1865"/>
      <c r="C64" s="105"/>
      <c r="D64" s="106"/>
      <c r="E64" s="106"/>
      <c r="F64" s="106"/>
      <c r="G64" s="106"/>
      <c r="H64" s="31"/>
      <c r="I64" s="31"/>
      <c r="J64" s="1866" t="s">
        <v>335</v>
      </c>
      <c r="K64" s="1867" t="e">
        <f>'3. E1 KUSTANNUKSET'!#REF!+'3. E1 KUSTANNUKSET'!#REF!+'3. E1 KUSTANNUKSET'!#REF!+'3. E1 KUSTANNUKSET'!#REF!+'3. E1 KUSTANNUKSET'!#REF!+'3. E1 KUSTANNUKSET'!#REF!</f>
        <v>#REF!</v>
      </c>
      <c r="L64" s="1852"/>
      <c r="M64" s="1867">
        <f>'3. E1 KUSTANNUKSET'!D43+'3. E1 KUSTANNUKSET'!D63+'3. E1 KUSTANNUKSET'!D80+'3. E1 KUSTANNUKSET'!D120+'3. E1 KUSTANNUKSET'!D121+'3. E1 KUSTANNUKSET'!D122</f>
        <v>0</v>
      </c>
      <c r="N64" s="1852"/>
      <c r="O64" s="1867">
        <f>'3. E1 KUSTANNUKSET'!F43+'3. E1 KUSTANNUKSET'!F63+'3. E1 KUSTANNUKSET'!F80+'3. E1 KUSTANNUKSET'!F120+'3. E1 KUSTANNUKSET'!F121+'3. E1 KUSTANNUKSET'!F122</f>
        <v>0</v>
      </c>
      <c r="P64" s="1852"/>
      <c r="Q64" s="1867">
        <f>'3. E1 KUSTANNUKSET'!H43+'3. E1 KUSTANNUKSET'!H63+'3. E1 KUSTANNUKSET'!H80+'3. E1 KUSTANNUKSET'!H120+'3. E1 KUSTANNUKSET'!H121+'3. E1 KUSTANNUKSET'!H122</f>
        <v>0</v>
      </c>
      <c r="R64" s="1852"/>
      <c r="S64" s="1867">
        <f>'3. E1 KUSTANNUKSET'!J43+'3. E1 KUSTANNUKSET'!J63+'3. E1 KUSTANNUKSET'!J80+'3. E1 KUSTANNUKSET'!J120+'3. E1 KUSTANNUKSET'!J121+'3. E1 KUSTANNUKSET'!J122</f>
        <v>0</v>
      </c>
    </row>
    <row r="65" spans="2:19" x14ac:dyDescent="0.25">
      <c r="B65" s="1868"/>
      <c r="C65" s="105"/>
      <c r="D65" s="106"/>
      <c r="E65" s="106"/>
      <c r="F65" s="106"/>
      <c r="G65" s="106"/>
      <c r="H65" s="106"/>
      <c r="I65" s="106"/>
      <c r="J65" s="29" t="s">
        <v>336</v>
      </c>
      <c r="K65" s="27"/>
      <c r="L65" s="27"/>
      <c r="M65" s="1853">
        <f>'3. E1 KUSTANNUKSET'!D52+'3. E1 KUSTANNUKSET'!D77+'3. E1 KUSTANNUKSET'!D78+'3. E1 KUSTANNUKSET'!D79+'3. E1 KUSTANNUKSET'!D81+'3. E1 KUSTANNUKSET'!D71+'3. E1 KUSTANNUKSET'!D82+'3. E1 KUSTANNUKSET'!D94+'3. E1 KUSTANNUKSET'!D95+'3. E1 KUSTANNUKSET'!D101+'3. E1 KUSTANNUKSET'!D106+'3. E1 KUSTANNUKSET'!D115+'3. E1 KUSTANNUKSET'!D116+'3. E1 KUSTANNUKSET'!D117+'3. E1 KUSTANNUKSET'!D123+'3. E1 KUSTANNUKSET'!D124+'3. E1 KUSTANNUKSET'!D128</f>
        <v>0</v>
      </c>
      <c r="N65" s="1867"/>
      <c r="O65" s="1853">
        <f>'3. E1 KUSTANNUKSET'!F52+'3. E1 KUSTANNUKSET'!F77+'3. E1 KUSTANNUKSET'!F78+'3. E1 KUSTANNUKSET'!F79+'3. E1 KUSTANNUKSET'!F81+'3. E1 KUSTANNUKSET'!F71+'3. E1 KUSTANNUKSET'!F82+'3. E1 KUSTANNUKSET'!F94+'3. E1 KUSTANNUKSET'!F95+'3. E1 KUSTANNUKSET'!F101+'3. E1 KUSTANNUKSET'!F106+'3. E1 KUSTANNUKSET'!F115+'3. E1 KUSTANNUKSET'!F116+'3. E1 KUSTANNUKSET'!F117+'3. E1 KUSTANNUKSET'!F123+'3. E1 KUSTANNUKSET'!F124+'3. E1 KUSTANNUKSET'!F128</f>
        <v>0</v>
      </c>
      <c r="P65" s="1867"/>
      <c r="Q65" s="1853">
        <f>'3. E1 KUSTANNUKSET'!H52+'3. E1 KUSTANNUKSET'!H77+'3. E1 KUSTANNUKSET'!H78+'3. E1 KUSTANNUKSET'!H79+'3. E1 KUSTANNUKSET'!H81+'3. E1 KUSTANNUKSET'!H71+'3. E1 KUSTANNUKSET'!H82+'3. E1 KUSTANNUKSET'!H94+'3. E1 KUSTANNUKSET'!H95+'3. E1 KUSTANNUKSET'!H101+'3. E1 KUSTANNUKSET'!H106+'3. E1 KUSTANNUKSET'!H115+'3. E1 KUSTANNUKSET'!H116+'3. E1 KUSTANNUKSET'!H117+'3. E1 KUSTANNUKSET'!H123+'3. E1 KUSTANNUKSET'!H124+'3. E1 KUSTANNUKSET'!H128</f>
        <v>0</v>
      </c>
      <c r="R65" s="1852"/>
      <c r="S65" s="1853">
        <f>'3. E1 KUSTANNUKSET'!J52+'3. E1 KUSTANNUKSET'!J77+'3. E1 KUSTANNUKSET'!J78+'3. E1 KUSTANNUKSET'!J79+'3. E1 KUSTANNUKSET'!J81+'3. E1 KUSTANNUKSET'!J71+'3. E1 KUSTANNUKSET'!J82+'3. E1 KUSTANNUKSET'!J94+'3. E1 KUSTANNUKSET'!J95+'3. E1 KUSTANNUKSET'!J101+'3. E1 KUSTANNUKSET'!J106+'3. E1 KUSTANNUKSET'!J115+'3. E1 KUSTANNUKSET'!J116+'3. E1 KUSTANNUKSET'!J117+'3. E1 KUSTANNUKSET'!J123+'3. E1 KUSTANNUKSET'!J124+'3. E1 KUSTANNUKSET'!J128</f>
        <v>0</v>
      </c>
    </row>
    <row r="66" spans="2:19" x14ac:dyDescent="0.25">
      <c r="B66" s="1865"/>
      <c r="C66" s="105"/>
      <c r="D66" s="106"/>
      <c r="E66" s="106"/>
      <c r="F66" s="106"/>
      <c r="G66" s="106"/>
      <c r="J66" s="1856"/>
      <c r="K66" s="1852"/>
      <c r="L66" s="1852"/>
      <c r="M66" s="1855"/>
      <c r="N66" s="1852"/>
      <c r="O66" s="1855"/>
      <c r="P66" s="1852"/>
      <c r="Q66" s="1855"/>
      <c r="R66" s="1852"/>
    </row>
    <row r="67" spans="2:19" x14ac:dyDescent="0.25">
      <c r="B67" s="1865"/>
      <c r="C67" s="105"/>
      <c r="D67" s="106"/>
      <c r="E67" s="106"/>
      <c r="F67" s="106"/>
      <c r="G67" s="106"/>
    </row>
    <row r="68" spans="2:19" x14ac:dyDescent="0.25">
      <c r="B68" s="1865"/>
      <c r="C68" s="105"/>
      <c r="D68" s="106"/>
      <c r="E68" s="106"/>
      <c r="F68" s="106"/>
      <c r="G68" s="106"/>
    </row>
    <row r="69" spans="2:19" s="2" customFormat="1" x14ac:dyDescent="0.25">
      <c r="B69" s="1865"/>
      <c r="C69" s="105"/>
      <c r="D69" s="106"/>
      <c r="E69" s="106"/>
      <c r="F69" s="106"/>
      <c r="G69" s="106"/>
    </row>
    <row r="70" spans="2:19" x14ac:dyDescent="0.25">
      <c r="B70" s="1865"/>
      <c r="C70" s="105"/>
      <c r="D70" s="106"/>
      <c r="E70" s="106"/>
      <c r="F70" s="106"/>
      <c r="G70" s="106"/>
    </row>
    <row r="71" spans="2:19" x14ac:dyDescent="0.25">
      <c r="B71" s="1865"/>
      <c r="C71" s="105"/>
      <c r="D71" s="106"/>
      <c r="E71" s="106"/>
      <c r="F71" s="106"/>
      <c r="G71" s="106"/>
    </row>
    <row r="72" spans="2:19" x14ac:dyDescent="0.25">
      <c r="B72" s="1865"/>
      <c r="C72" s="105"/>
      <c r="D72" s="106"/>
      <c r="E72" s="106"/>
      <c r="F72" s="106"/>
      <c r="G72" s="106"/>
    </row>
    <row r="73" spans="2:19" x14ac:dyDescent="0.25">
      <c r="B73" s="1865"/>
      <c r="C73" s="105"/>
      <c r="D73" s="106"/>
      <c r="E73" s="106"/>
      <c r="F73" s="106"/>
      <c r="G73" s="106"/>
    </row>
    <row r="74" spans="2:19" x14ac:dyDescent="0.25">
      <c r="B74" s="1865"/>
      <c r="C74" s="105"/>
      <c r="D74" s="106"/>
      <c r="E74" s="106"/>
      <c r="F74" s="106"/>
      <c r="G74" s="106"/>
    </row>
    <row r="75" spans="2:19" x14ac:dyDescent="0.25">
      <c r="B75" s="1865"/>
      <c r="C75" s="105"/>
      <c r="D75" s="106"/>
      <c r="E75" s="106"/>
      <c r="F75" s="106"/>
      <c r="G75" s="106"/>
    </row>
    <row r="76" spans="2:19" x14ac:dyDescent="0.25">
      <c r="B76" s="1865"/>
      <c r="C76" s="105"/>
      <c r="D76" s="106"/>
      <c r="E76" s="106"/>
      <c r="F76" s="106"/>
      <c r="G76" s="106"/>
    </row>
    <row r="77" spans="2:19" x14ac:dyDescent="0.25">
      <c r="B77" s="1865"/>
      <c r="C77" s="105"/>
      <c r="D77" s="106"/>
      <c r="E77" s="106"/>
      <c r="F77" s="106"/>
      <c r="G77" s="106"/>
    </row>
    <row r="78" spans="2:19" x14ac:dyDescent="0.25">
      <c r="B78" s="1865"/>
      <c r="C78" s="105"/>
      <c r="D78" s="106"/>
      <c r="E78" s="106"/>
      <c r="F78" s="106"/>
      <c r="G78" s="106"/>
    </row>
    <row r="79" spans="2:19" x14ac:dyDescent="0.25">
      <c r="B79" s="1865"/>
      <c r="C79" s="105"/>
      <c r="D79" s="106"/>
      <c r="E79" s="106"/>
      <c r="F79" s="106"/>
      <c r="G79" s="106"/>
    </row>
    <row r="80" spans="2:19" x14ac:dyDescent="0.25">
      <c r="B80" s="1865"/>
      <c r="C80" s="105"/>
      <c r="D80" s="106"/>
      <c r="E80" s="106"/>
      <c r="F80" s="106"/>
      <c r="G80" s="106"/>
    </row>
    <row r="81" spans="2:7" x14ac:dyDescent="0.25">
      <c r="B81" s="1865"/>
      <c r="C81" s="105"/>
      <c r="D81" s="106"/>
      <c r="E81" s="106"/>
      <c r="F81" s="106"/>
      <c r="G81" s="106"/>
    </row>
    <row r="82" spans="2:7" x14ac:dyDescent="0.25">
      <c r="B82" s="1865"/>
      <c r="C82" s="105"/>
      <c r="D82" s="106"/>
      <c r="E82" s="106"/>
      <c r="F82" s="106"/>
      <c r="G82" s="106"/>
    </row>
    <row r="83" spans="2:7" x14ac:dyDescent="0.25">
      <c r="B83" s="1865"/>
      <c r="C83" s="105"/>
      <c r="D83" s="106"/>
      <c r="E83" s="106"/>
      <c r="F83" s="106"/>
      <c r="G83" s="106"/>
    </row>
    <row r="84" spans="2:7" x14ac:dyDescent="0.25">
      <c r="B84" s="100"/>
      <c r="C84" s="108"/>
      <c r="D84" s="108"/>
      <c r="E84" s="108"/>
      <c r="F84" s="108"/>
      <c r="G84" s="108"/>
    </row>
    <row r="85" spans="2:7" x14ac:dyDescent="0.25">
      <c r="B85" s="2"/>
      <c r="D85" s="108"/>
      <c r="E85" s="108"/>
      <c r="F85" s="108"/>
      <c r="G85" s="108"/>
    </row>
    <row r="86" spans="2:7" x14ac:dyDescent="0.25">
      <c r="B86" s="101"/>
      <c r="C86" s="108"/>
      <c r="D86" s="108"/>
      <c r="E86" s="108"/>
      <c r="F86" s="108"/>
      <c r="G86" s="108"/>
    </row>
    <row r="87" spans="2:7" x14ac:dyDescent="0.25">
      <c r="B87" s="100"/>
    </row>
    <row r="88" spans="2:7" s="2" customFormat="1" x14ac:dyDescent="0.25">
      <c r="B88" s="100"/>
      <c r="C88" s="106"/>
      <c r="D88" s="109"/>
      <c r="E88" s="109"/>
      <c r="F88" s="109"/>
    </row>
    <row r="89" spans="2:7" x14ac:dyDescent="0.25">
      <c r="B89" s="1859"/>
      <c r="C89" s="102"/>
      <c r="D89" s="217"/>
      <c r="E89" s="217"/>
      <c r="F89" s="217"/>
    </row>
    <row r="90" spans="2:7" x14ac:dyDescent="0.25">
      <c r="B90" s="2"/>
      <c r="C90" s="103"/>
      <c r="D90" s="103"/>
      <c r="E90" s="103"/>
      <c r="F90" s="103"/>
    </row>
    <row r="91" spans="2:7" x14ac:dyDescent="0.25">
      <c r="B91" s="2"/>
      <c r="C91" s="105"/>
      <c r="D91" s="106"/>
      <c r="E91" s="106"/>
      <c r="F91" s="106"/>
    </row>
    <row r="92" spans="2:7" x14ac:dyDescent="0.25">
      <c r="B92" s="535"/>
      <c r="C92" s="105"/>
      <c r="D92" s="105"/>
      <c r="E92" s="105"/>
      <c r="F92" s="105"/>
    </row>
    <row r="93" spans="2:7" x14ac:dyDescent="0.25">
      <c r="B93" s="1865"/>
      <c r="D93"/>
    </row>
    <row r="94" spans="2:7" x14ac:dyDescent="0.25">
      <c r="B94" s="1865"/>
      <c r="C94" s="106"/>
      <c r="D94" s="106"/>
      <c r="E94" s="106"/>
      <c r="F94" s="106"/>
    </row>
    <row r="95" spans="2:7" x14ac:dyDescent="0.25">
      <c r="B95" s="1865"/>
      <c r="C95" s="105"/>
      <c r="D95" s="106"/>
      <c r="E95" s="106"/>
      <c r="F95" s="106"/>
    </row>
    <row r="96" spans="2:7" x14ac:dyDescent="0.25">
      <c r="B96" s="1869"/>
      <c r="C96" s="105"/>
      <c r="D96" s="106"/>
      <c r="E96" s="106"/>
      <c r="F96" s="106"/>
    </row>
    <row r="97" spans="2:6" x14ac:dyDescent="0.25">
      <c r="B97" s="1865"/>
      <c r="C97" s="105"/>
      <c r="D97" s="106"/>
      <c r="E97" s="106"/>
      <c r="F97" s="106"/>
    </row>
    <row r="98" spans="2:6" s="54" customFormat="1" x14ac:dyDescent="0.25">
      <c r="C98" s="110"/>
      <c r="D98" s="110"/>
      <c r="E98" s="110"/>
      <c r="F98" s="110"/>
    </row>
    <row r="99" spans="2:6" x14ac:dyDescent="0.25">
      <c r="B99" s="1859"/>
      <c r="C99" s="102"/>
      <c r="D99" s="102"/>
      <c r="E99" s="102"/>
      <c r="F99" s="102"/>
    </row>
    <row r="100" spans="2:6" x14ac:dyDescent="0.25">
      <c r="B100" s="535"/>
      <c r="C100" s="1870"/>
      <c r="D100" s="1870"/>
      <c r="E100" s="1870"/>
      <c r="F100" s="1870"/>
    </row>
    <row r="101" spans="2:6" x14ac:dyDescent="0.25">
      <c r="B101" s="535"/>
      <c r="C101" s="105"/>
      <c r="D101" s="105"/>
      <c r="E101" s="105"/>
      <c r="F101" s="105"/>
    </row>
    <row r="102" spans="2:6" x14ac:dyDescent="0.25">
      <c r="B102" s="535"/>
      <c r="C102" s="105"/>
      <c r="D102" s="105"/>
      <c r="E102" s="105"/>
      <c r="F102" s="105"/>
    </row>
    <row r="103" spans="2:6" x14ac:dyDescent="0.25">
      <c r="B103" s="1865"/>
      <c r="D103"/>
    </row>
    <row r="104" spans="2:6" x14ac:dyDescent="0.25">
      <c r="B104" s="1865"/>
      <c r="C104" s="106"/>
      <c r="D104" s="106"/>
      <c r="E104" s="106"/>
      <c r="F104" s="106"/>
    </row>
    <row r="105" spans="2:6" x14ac:dyDescent="0.25">
      <c r="B105" s="1865"/>
      <c r="C105" s="105"/>
      <c r="D105" s="106"/>
      <c r="E105" s="106"/>
      <c r="F105" s="106"/>
    </row>
    <row r="106" spans="2:6" x14ac:dyDescent="0.25">
      <c r="B106" s="1869"/>
      <c r="C106" s="105"/>
      <c r="D106" s="106"/>
      <c r="E106" s="106"/>
      <c r="F106" s="106"/>
    </row>
    <row r="107" spans="2:6" x14ac:dyDescent="0.25">
      <c r="B107" s="1865"/>
      <c r="C107" s="105"/>
      <c r="D107" s="106"/>
      <c r="E107" s="106"/>
      <c r="F107" s="106"/>
    </row>
    <row r="108" spans="2:6" x14ac:dyDescent="0.25">
      <c r="B108" s="1865"/>
      <c r="C108" s="105"/>
      <c r="D108" s="106"/>
      <c r="E108" s="106"/>
      <c r="F108" s="106"/>
    </row>
    <row r="109" spans="2:6" x14ac:dyDescent="0.25">
      <c r="B109" s="100"/>
      <c r="C109" s="105"/>
      <c r="D109" s="106"/>
      <c r="E109" s="106"/>
      <c r="F109" s="106"/>
    </row>
    <row r="110" spans="2:6" s="2" customFormat="1" x14ac:dyDescent="0.25">
      <c r="C110" s="2014"/>
      <c r="D110" s="2014"/>
      <c r="E110" s="109"/>
      <c r="F110" s="109"/>
    </row>
    <row r="111" spans="2:6" x14ac:dyDescent="0.25">
      <c r="B111" s="1859"/>
      <c r="C111" s="102"/>
      <c r="D111" s="102"/>
      <c r="E111" s="102"/>
      <c r="F111" s="102"/>
    </row>
    <row r="112" spans="2:6" x14ac:dyDescent="0.25">
      <c r="B112" s="535"/>
      <c r="C112" s="1870"/>
      <c r="D112" s="1870"/>
      <c r="E112" s="1870"/>
      <c r="F112" s="1870"/>
    </row>
    <row r="113" spans="2:6" x14ac:dyDescent="0.25">
      <c r="B113" s="535"/>
      <c r="C113" s="1870"/>
      <c r="D113" s="1870"/>
      <c r="E113" s="1870"/>
      <c r="F113" s="1870"/>
    </row>
    <row r="114" spans="2:6" x14ac:dyDescent="0.25">
      <c r="B114" s="535"/>
      <c r="C114" s="107"/>
      <c r="D114" s="107"/>
      <c r="E114" s="107"/>
      <c r="F114" s="107"/>
    </row>
    <row r="115" spans="2:6" x14ac:dyDescent="0.25">
      <c r="B115" s="535"/>
      <c r="C115" s="103"/>
      <c r="D115" s="103"/>
      <c r="E115" s="103"/>
      <c r="F115" s="103"/>
    </row>
    <row r="116" spans="2:6" x14ac:dyDescent="0.25">
      <c r="B116" s="535"/>
      <c r="C116" s="104"/>
      <c r="D116" s="104"/>
      <c r="E116" s="104"/>
      <c r="F116" s="104"/>
    </row>
    <row r="117" spans="2:6" x14ac:dyDescent="0.25">
      <c r="B117" s="535"/>
      <c r="C117" s="104"/>
      <c r="D117" s="104"/>
      <c r="E117" s="104"/>
      <c r="F117" s="104"/>
    </row>
    <row r="118" spans="2:6" x14ac:dyDescent="0.25">
      <c r="B118" s="535"/>
      <c r="C118" s="15"/>
      <c r="D118" s="15"/>
      <c r="E118" s="15"/>
      <c r="F118" s="15"/>
    </row>
    <row r="119" spans="2:6" x14ac:dyDescent="0.25">
      <c r="B119" s="535"/>
      <c r="C119" s="1871"/>
      <c r="D119" s="1871"/>
      <c r="E119" s="1871"/>
      <c r="F119" s="1871"/>
    </row>
    <row r="120" spans="2:6" x14ac:dyDescent="0.25">
      <c r="B120" s="2"/>
      <c r="C120" s="108"/>
      <c r="D120" s="108"/>
      <c r="E120" s="108"/>
      <c r="F120" s="108"/>
    </row>
    <row r="121" spans="2:6" x14ac:dyDescent="0.25">
      <c r="B121" s="1865"/>
      <c r="D121"/>
    </row>
    <row r="122" spans="2:6" x14ac:dyDescent="0.25">
      <c r="B122" s="1865"/>
      <c r="C122" s="105"/>
      <c r="D122" s="105"/>
      <c r="E122" s="105"/>
      <c r="F122" s="105"/>
    </row>
    <row r="123" spans="2:6" x14ac:dyDescent="0.25">
      <c r="B123" s="1865"/>
      <c r="C123" s="105"/>
      <c r="D123" s="106"/>
      <c r="E123" s="106"/>
      <c r="F123" s="106"/>
    </row>
    <row r="124" spans="2:6" x14ac:dyDescent="0.25">
      <c r="B124" s="1868"/>
      <c r="C124" s="105"/>
      <c r="D124" s="106"/>
      <c r="E124" s="106"/>
      <c r="F124" s="106"/>
    </row>
    <row r="125" spans="2:6" x14ac:dyDescent="0.25">
      <c r="B125" s="101"/>
      <c r="C125" s="108"/>
      <c r="D125" s="108"/>
      <c r="E125" s="108"/>
      <c r="F125" s="108"/>
    </row>
    <row r="126" spans="2:6" x14ac:dyDescent="0.25">
      <c r="B126" s="1865"/>
      <c r="C126" s="106"/>
      <c r="D126" s="106"/>
      <c r="E126" s="106"/>
      <c r="F126" s="106"/>
    </row>
    <row r="127" spans="2:6" x14ac:dyDescent="0.25">
      <c r="B127" s="101"/>
      <c r="C127" s="108"/>
      <c r="D127" s="108"/>
      <c r="E127" s="108"/>
      <c r="F127" s="108"/>
    </row>
  </sheetData>
  <sheetProtection algorithmName="SHA-512" hashValue="yJ95L5LhR9wKH6Fw61PQpzuj+fx9pT5ysI5zupoz0pGGhJw8lBo+ykC1lDdl+YPSKXP3ro8GsK7+SG3rKuRpIQ==" saltValue="loCokb2wQtmz7nv28dfqdA==" spinCount="100000" sheet="1" objects="1" scenarios="1" selectLockedCells="1" selectUnlockedCells="1"/>
  <mergeCells count="53">
    <mergeCell ref="K27:P27"/>
    <mergeCell ref="Q27:V27"/>
    <mergeCell ref="W27:AB27"/>
    <mergeCell ref="AC27:AH27"/>
    <mergeCell ref="K43:P43"/>
    <mergeCell ref="AC43:AH43"/>
    <mergeCell ref="Q43:V43"/>
    <mergeCell ref="AI43:AN43"/>
    <mergeCell ref="K56:L56"/>
    <mergeCell ref="S63:T63"/>
    <mergeCell ref="Q63:R63"/>
    <mergeCell ref="K63:L63"/>
    <mergeCell ref="M63:N63"/>
    <mergeCell ref="K59:L59"/>
    <mergeCell ref="Q62:R62"/>
    <mergeCell ref="O63:P63"/>
    <mergeCell ref="K62:L62"/>
    <mergeCell ref="K58:L58"/>
    <mergeCell ref="S62:T62"/>
    <mergeCell ref="M62:N62"/>
    <mergeCell ref="O62:P62"/>
    <mergeCell ref="K57:L57"/>
    <mergeCell ref="C110:D110"/>
    <mergeCell ref="F4:J4"/>
    <mergeCell ref="F3:J3"/>
    <mergeCell ref="F27:J27"/>
    <mergeCell ref="F43:J43"/>
    <mergeCell ref="E58:F58"/>
    <mergeCell ref="E57:F57"/>
    <mergeCell ref="G57:H57"/>
    <mergeCell ref="F28:J28"/>
    <mergeCell ref="E59:F59"/>
    <mergeCell ref="G59:H59"/>
    <mergeCell ref="I58:J58"/>
    <mergeCell ref="I59:J59"/>
    <mergeCell ref="G58:H58"/>
    <mergeCell ref="I57:J57"/>
    <mergeCell ref="AI3:AN3"/>
    <mergeCell ref="AI4:AN4"/>
    <mergeCell ref="C56:D56"/>
    <mergeCell ref="E56:F56"/>
    <mergeCell ref="G56:H56"/>
    <mergeCell ref="I56:J56"/>
    <mergeCell ref="K3:P3"/>
    <mergeCell ref="Q3:V3"/>
    <mergeCell ref="AC3:AH3"/>
    <mergeCell ref="AC4:AH4"/>
    <mergeCell ref="W3:AB3"/>
    <mergeCell ref="K4:P4"/>
    <mergeCell ref="W43:AB43"/>
    <mergeCell ref="Q4:V4"/>
    <mergeCell ref="W4:AB4"/>
    <mergeCell ref="AI27:AN27"/>
  </mergeCells>
  <pageMargins left="0.7" right="0.7" top="0.75" bottom="0.75" header="0.3" footer="0.3"/>
  <pageSetup paperSize="9" orientation="portrait" verticalDpi="4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C7F5-6276-4CF6-8D5A-4B3B0EF8F8B3}">
  <sheetPr>
    <tabColor rgb="FF0152A1"/>
  </sheetPr>
  <dimension ref="A1:Y122"/>
  <sheetViews>
    <sheetView showGridLines="0" showZeros="0" defaultGridColor="0" colorId="55" zoomScaleNormal="100" workbookViewId="0">
      <selection activeCell="G35" sqref="G35"/>
    </sheetView>
  </sheetViews>
  <sheetFormatPr defaultRowHeight="13.2" x14ac:dyDescent="0.25"/>
  <cols>
    <col min="1" max="1" width="10" customWidth="1"/>
    <col min="2" max="2" width="3.33203125" style="32" customWidth="1"/>
    <col min="3" max="3" width="28.109375" customWidth="1"/>
    <col min="4" max="4" width="10.88671875" customWidth="1"/>
    <col min="5" max="5" width="3.88671875" customWidth="1"/>
    <col min="6" max="10" width="10.33203125" customWidth="1"/>
    <col min="11" max="11" width="3.109375" customWidth="1"/>
    <col min="12" max="20" width="10.6640625" customWidth="1"/>
  </cols>
  <sheetData>
    <row r="1" spans="1:20" x14ac:dyDescent="0.25">
      <c r="O1" s="342"/>
    </row>
    <row r="2" spans="1:20" ht="13.2" customHeight="1" x14ac:dyDescent="0.25">
      <c r="B2" s="1922" t="s">
        <v>337</v>
      </c>
      <c r="C2" s="1922"/>
      <c r="D2" s="1922"/>
      <c r="F2" s="1756"/>
      <c r="I2" s="49"/>
      <c r="J2" s="49"/>
      <c r="L2" s="1922" t="s">
        <v>337</v>
      </c>
      <c r="M2" s="1922"/>
      <c r="N2" s="1922"/>
      <c r="O2" s="1922"/>
    </row>
    <row r="3" spans="1:20" ht="6.75" customHeight="1" x14ac:dyDescent="0.25">
      <c r="B3" s="1922"/>
      <c r="C3" s="1922"/>
      <c r="D3" s="1922"/>
      <c r="F3" s="1197"/>
      <c r="L3" s="1922"/>
      <c r="M3" s="1922"/>
      <c r="N3" s="1922"/>
      <c r="O3" s="1922"/>
    </row>
    <row r="4" spans="1:20" ht="3.75" customHeight="1" x14ac:dyDescent="0.25">
      <c r="G4" s="73">
        <v>0</v>
      </c>
      <c r="O4" s="344"/>
    </row>
    <row r="5" spans="1:20" s="34" customFormat="1" ht="10.199999999999999" x14ac:dyDescent="0.2">
      <c r="B5" s="1756" t="s">
        <v>10</v>
      </c>
      <c r="C5" s="1782"/>
      <c r="D5" s="1782"/>
      <c r="E5" s="1782"/>
      <c r="F5" s="1782"/>
      <c r="G5" s="2074" t="s">
        <v>8</v>
      </c>
      <c r="H5" s="2074"/>
      <c r="I5" s="2074"/>
      <c r="J5" s="2074"/>
      <c r="L5" s="1756" t="s">
        <v>10</v>
      </c>
      <c r="M5" s="1782"/>
      <c r="N5" s="1782"/>
      <c r="O5" s="1782"/>
      <c r="P5" s="1782"/>
      <c r="Q5" s="2074" t="s">
        <v>8</v>
      </c>
      <c r="R5" s="2074"/>
      <c r="S5" s="2074"/>
      <c r="T5" s="2074"/>
    </row>
    <row r="6" spans="1:20" ht="15" customHeight="1" x14ac:dyDescent="0.25">
      <c r="B6" s="2075">
        <f>'7. T2 TULOSSUUN.'!B5</f>
        <v>0</v>
      </c>
      <c r="C6" s="2075"/>
      <c r="D6" s="2075"/>
      <c r="E6" s="1784"/>
      <c r="F6" s="1784"/>
      <c r="G6" s="607">
        <f>'1. T1 INVESTOINTISUUN.'!F4</f>
        <v>0</v>
      </c>
      <c r="H6" s="1754"/>
      <c r="I6" s="1754"/>
      <c r="J6" s="1754"/>
      <c r="L6" s="2072">
        <f>B6</f>
        <v>0</v>
      </c>
      <c r="M6" s="2072"/>
      <c r="N6" s="2072"/>
      <c r="O6" s="2072"/>
      <c r="P6" s="1198"/>
      <c r="Q6" s="606">
        <f>'1. T1 INVESTOINTISUUN.'!F4</f>
        <v>0</v>
      </c>
      <c r="R6" s="665"/>
      <c r="S6" s="665"/>
      <c r="T6" s="665"/>
    </row>
    <row r="7" spans="1:20" s="34" customFormat="1" ht="10.199999999999999" x14ac:dyDescent="0.2">
      <c r="B7" s="1969" t="s">
        <v>13</v>
      </c>
      <c r="C7" s="1969"/>
      <c r="D7" s="1969"/>
      <c r="E7" s="1782"/>
      <c r="F7" s="1782"/>
      <c r="G7" s="1782"/>
      <c r="H7" s="1782"/>
      <c r="I7" s="1782"/>
      <c r="J7" s="1782"/>
      <c r="L7" s="1199" t="s">
        <v>13</v>
      </c>
      <c r="M7" s="1781"/>
      <c r="N7" s="1781"/>
      <c r="O7" s="1781"/>
      <c r="P7" s="1781"/>
      <c r="Q7" s="2069"/>
      <c r="R7" s="2069"/>
      <c r="S7" s="2069"/>
      <c r="T7" s="2069"/>
    </row>
    <row r="8" spans="1:20" ht="15" customHeight="1" x14ac:dyDescent="0.25">
      <c r="A8" s="41"/>
      <c r="B8" s="2070">
        <f>'1. T1 INVESTOINTISUUN.'!B9</f>
        <v>0</v>
      </c>
      <c r="C8" s="2070"/>
      <c r="D8" s="2070"/>
      <c r="E8" s="1784"/>
      <c r="F8" s="1784"/>
      <c r="G8" s="2071"/>
      <c r="H8" s="2071"/>
      <c r="I8" s="2071"/>
      <c r="J8" s="2071"/>
      <c r="L8" s="2072">
        <f>B8</f>
        <v>0</v>
      </c>
      <c r="M8" s="2072"/>
      <c r="N8" s="2072"/>
      <c r="O8" s="2072"/>
      <c r="P8" s="1198"/>
      <c r="Q8" s="2073"/>
      <c r="R8" s="2073"/>
      <c r="S8" s="2073"/>
      <c r="T8" s="2073"/>
    </row>
    <row r="9" spans="1:20" ht="3.75" customHeight="1" thickBot="1" x14ac:dyDescent="0.3">
      <c r="L9" s="1200"/>
      <c r="M9" s="1200"/>
      <c r="N9" s="1200"/>
      <c r="O9" s="1200"/>
      <c r="P9" s="1200"/>
      <c r="Q9" s="1200"/>
      <c r="R9" s="1200"/>
      <c r="S9" s="1200"/>
      <c r="T9" s="1200"/>
    </row>
    <row r="10" spans="1:20" ht="12.75" customHeight="1" x14ac:dyDescent="0.25">
      <c r="A10" s="41"/>
      <c r="B10" s="1326"/>
      <c r="C10" s="1327"/>
      <c r="D10" s="1327"/>
      <c r="E10" s="1328"/>
      <c r="F10" s="1316"/>
      <c r="G10" s="1316" t="str">
        <f>'1. T1 INVESTOINTISUUN.'!E15</f>
        <v>Ennuste 1</v>
      </c>
      <c r="H10" s="1316" t="str">
        <f>'1. T1 INVESTOINTISUUN.'!F15</f>
        <v>Ennuste 2</v>
      </c>
      <c r="I10" s="1316" t="str">
        <f>'1. T1 INVESTOINTISUUN.'!G15</f>
        <v>Ennuste 3</v>
      </c>
      <c r="J10" s="1317" t="s">
        <v>22</v>
      </c>
      <c r="L10" s="2046" t="s">
        <v>338</v>
      </c>
      <c r="M10" s="2047"/>
      <c r="N10" s="2047"/>
      <c r="O10" s="2047"/>
      <c r="P10" s="1340"/>
      <c r="Q10" s="1341" t="str">
        <f t="shared" ref="Q10:S11" si="0">G10</f>
        <v>Ennuste 1</v>
      </c>
      <c r="R10" s="1341" t="str">
        <f t="shared" si="0"/>
        <v>Ennuste 2</v>
      </c>
      <c r="S10" s="1341" t="str">
        <f t="shared" si="0"/>
        <v>Ennuste 3</v>
      </c>
      <c r="T10" s="1342" t="s">
        <v>22</v>
      </c>
    </row>
    <row r="11" spans="1:20" ht="15.75" customHeight="1" thickBot="1" x14ac:dyDescent="0.3">
      <c r="A11" s="2"/>
      <c r="B11" s="1329" t="s">
        <v>339</v>
      </c>
      <c r="C11" s="1330"/>
      <c r="D11" s="1330"/>
      <c r="E11" s="1331"/>
      <c r="F11" s="1332"/>
      <c r="G11" s="1333">
        <f>'4. E2 LIIKEVAIHTO'!E8</f>
        <v>2024</v>
      </c>
      <c r="H11" s="1333">
        <f>'4. E2 LIIKEVAIHTO'!F8</f>
        <v>2025</v>
      </c>
      <c r="I11" s="1333">
        <f>'4. E2 LIIKEVAIHTO'!G8</f>
        <v>2026</v>
      </c>
      <c r="J11" s="1333">
        <f>'4. E2 LIIKEVAIHTO'!H8</f>
        <v>2027</v>
      </c>
      <c r="L11" s="2048"/>
      <c r="M11" s="2049"/>
      <c r="N11" s="2049"/>
      <c r="O11" s="2049"/>
      <c r="P11" s="1343"/>
      <c r="Q11" s="1344">
        <f t="shared" si="0"/>
        <v>2024</v>
      </c>
      <c r="R11" s="1344">
        <f t="shared" si="0"/>
        <v>2025</v>
      </c>
      <c r="S11" s="1344">
        <f t="shared" si="0"/>
        <v>2026</v>
      </c>
      <c r="T11" s="1324">
        <f>J11</f>
        <v>2027</v>
      </c>
    </row>
    <row r="12" spans="1:20" ht="13.5" customHeight="1" thickBot="1" x14ac:dyDescent="0.3">
      <c r="A12" s="41"/>
      <c r="B12" s="1334"/>
      <c r="C12" s="1335"/>
      <c r="D12" s="1335"/>
      <c r="E12" s="1336"/>
      <c r="F12" s="1337"/>
      <c r="G12" s="1338" t="s">
        <v>117</v>
      </c>
      <c r="H12" s="1338" t="s">
        <v>117</v>
      </c>
      <c r="I12" s="1338" t="s">
        <v>117</v>
      </c>
      <c r="J12" s="1339" t="s">
        <v>117</v>
      </c>
      <c r="L12" s="486" t="s">
        <v>340</v>
      </c>
      <c r="M12" s="1201"/>
      <c r="N12" s="1201"/>
      <c r="O12" s="1201"/>
      <c r="P12" s="1202"/>
      <c r="Q12" s="1202"/>
      <c r="R12" s="1202"/>
      <c r="S12" s="1202"/>
      <c r="T12" s="1220"/>
    </row>
    <row r="13" spans="1:20" ht="13.5" customHeight="1" x14ac:dyDescent="0.25">
      <c r="B13" s="2050" t="s">
        <v>341</v>
      </c>
      <c r="C13" s="1963"/>
      <c r="D13" s="1203"/>
      <c r="E13" s="1135"/>
      <c r="F13" s="1204"/>
      <c r="G13" s="1136" t="s">
        <v>4</v>
      </c>
      <c r="H13" s="1137"/>
      <c r="I13" s="1136"/>
      <c r="J13" s="1208"/>
      <c r="L13" s="1775" t="s">
        <v>342</v>
      </c>
      <c r="M13" s="1776"/>
      <c r="N13" s="1776"/>
      <c r="O13" s="1777"/>
      <c r="P13" s="637"/>
      <c r="Q13" s="1768">
        <f>'7. T2 TULOSSUUN.'!G11</f>
        <v>0</v>
      </c>
      <c r="R13" s="1768">
        <f>'7. T2 TULOSSUUN.'!I11</f>
        <v>0</v>
      </c>
      <c r="S13" s="747">
        <f>'7. T2 TULOSSUUN.'!K11</f>
        <v>0</v>
      </c>
      <c r="T13" s="617">
        <f>'7. T2 TULOSSUUN.'!M11</f>
        <v>0</v>
      </c>
    </row>
    <row r="14" spans="1:20" ht="13.5" customHeight="1" x14ac:dyDescent="0.25">
      <c r="A14" s="41"/>
      <c r="B14" s="2050"/>
      <c r="C14" s="1963"/>
      <c r="F14" s="450"/>
      <c r="G14" s="1076"/>
      <c r="H14" s="1076"/>
      <c r="I14" s="1076"/>
      <c r="J14" s="1077"/>
      <c r="L14" s="1778" t="s">
        <v>343</v>
      </c>
      <c r="M14" s="1779"/>
      <c r="N14" s="1779"/>
      <c r="O14" s="1780"/>
      <c r="P14" s="637"/>
      <c r="Q14" s="1768">
        <f>IF('7. T2 TULOSSUUN.'!G33=0,0,Q13/'7. T2 TULOSSUUN.'!G33)</f>
        <v>0</v>
      </c>
      <c r="R14" s="1768">
        <f>IF('7. T2 TULOSSUUN.'!I33=0,0,R13/'7. T2 TULOSSUUN.'!I33)</f>
        <v>0</v>
      </c>
      <c r="S14" s="747">
        <f>IF('7. T2 TULOSSUUN.'!K33=0,0,S13/'7. T2 TULOSSUUN.'!K33)</f>
        <v>0</v>
      </c>
      <c r="T14" s="611">
        <f>IF('7. T2 TULOSSUUN.'!M33=0,0,T13/'7. T2 TULOSSUUN.'!M33)</f>
        <v>0</v>
      </c>
    </row>
    <row r="15" spans="1:20" ht="13.5" customHeight="1" x14ac:dyDescent="0.25">
      <c r="B15" s="167" t="s">
        <v>24</v>
      </c>
      <c r="C15" s="307" t="s">
        <v>344</v>
      </c>
      <c r="D15" s="307"/>
      <c r="E15" s="308" t="s">
        <v>345</v>
      </c>
      <c r="F15" s="286"/>
      <c r="G15" s="619">
        <f>'7. T2 TULOSSUUN.'!G26+'7. T2 TULOSSUUN.'!G27-'7. T2 TULOSSUUN.'!G21</f>
        <v>0</v>
      </c>
      <c r="H15" s="619">
        <f>'7. T2 TULOSSUUN.'!I26+'7. T2 TULOSSUUN.'!I27-'7. T2 TULOSSUUN.'!I21</f>
        <v>0</v>
      </c>
      <c r="I15" s="619">
        <f>'7. T2 TULOSSUUN.'!K26+'7. T2 TULOSSUUN.'!K27-'7. T2 TULOSSUUN.'!K21</f>
        <v>0</v>
      </c>
      <c r="J15" s="617">
        <f>'7. T2 TULOSSUUN.'!M26+'7. T2 TULOSSUUN.'!M27-'7. T2 TULOSSUUN.'!M21</f>
        <v>0</v>
      </c>
      <c r="L15" s="1778" t="s">
        <v>346</v>
      </c>
      <c r="M15" s="1779"/>
      <c r="N15" s="1779"/>
      <c r="O15" s="1780"/>
      <c r="P15" s="645"/>
      <c r="Q15" s="311">
        <f>'7. T2 TULOSSUUN.'!G33</f>
        <v>1</v>
      </c>
      <c r="R15" s="311">
        <f>'7. T2 TULOSSUUN.'!I33</f>
        <v>1</v>
      </c>
      <c r="S15" s="1210">
        <f>'7. T2 TULOSSUUN.'!K33</f>
        <v>1</v>
      </c>
      <c r="T15" s="1215">
        <f>'7. T2 TULOSSUUN.'!M33</f>
        <v>1</v>
      </c>
    </row>
    <row r="16" spans="1:20" ht="13.5" customHeight="1" x14ac:dyDescent="0.25">
      <c r="A16" s="41"/>
      <c r="B16" s="167" t="s">
        <v>28</v>
      </c>
      <c r="C16" s="309" t="s">
        <v>347</v>
      </c>
      <c r="D16" s="309"/>
      <c r="E16" s="310" t="s">
        <v>345</v>
      </c>
      <c r="F16" s="629">
        <v>0</v>
      </c>
      <c r="G16" s="1768">
        <f>'1. T1 INVESTOINTISUUN.'!E46+'1. T1 INVESTOINTISUUN.'!E47</f>
        <v>0</v>
      </c>
      <c r="H16" s="1768">
        <f>'1. T1 INVESTOINTISUUN.'!F46+'1. T1 INVESTOINTISUUN.'!F47</f>
        <v>0</v>
      </c>
      <c r="I16" s="1768">
        <f>'1. T1 INVESTOINTISUUN.'!G46+'1. T1 INVESTOINTISUUN.'!G47</f>
        <v>0</v>
      </c>
      <c r="J16" s="611">
        <f>'1. T1 INVESTOINTISUUN.'!H46+'1. T1 INVESTOINTISUUN.'!H47</f>
        <v>0</v>
      </c>
      <c r="L16" s="2051" t="s">
        <v>348</v>
      </c>
      <c r="M16" s="2052"/>
      <c r="N16" s="2052"/>
      <c r="O16" s="2053"/>
      <c r="P16" s="637"/>
      <c r="Q16" s="1768">
        <f>Q110</f>
        <v>0</v>
      </c>
      <c r="R16" s="1768">
        <f>R110</f>
        <v>0</v>
      </c>
      <c r="S16" s="1768">
        <f>S110</f>
        <v>0</v>
      </c>
      <c r="T16" s="611">
        <f>T110</f>
        <v>0</v>
      </c>
    </row>
    <row r="17" spans="1:24" ht="13.5" customHeight="1" x14ac:dyDescent="0.25">
      <c r="A17" s="2"/>
      <c r="B17" s="167" t="s">
        <v>32</v>
      </c>
      <c r="C17" s="2054" t="s">
        <v>349</v>
      </c>
      <c r="D17" s="2054"/>
      <c r="E17" s="310" t="s">
        <v>345</v>
      </c>
      <c r="F17" s="629"/>
      <c r="G17" s="1768">
        <f>'2. T7 LAINAT'!F32+'6. T3 TASE'!G73</f>
        <v>0</v>
      </c>
      <c r="H17" s="1768">
        <f>'2. T7 LAINAT'!I32+IF('6. T3 TASE'!H73-'6. T3 TASE'!G73&gt;0,'6. T3 TASE'!H73-'6. T3 TASE'!G73,0)+IF('6. T3 TASE'!H71-'6. T3 TASE'!G71&gt;0,'6. T3 TASE'!H71-'6. T3 TASE'!G71,0)</f>
        <v>0</v>
      </c>
      <c r="I17" s="1768">
        <f>'2. T7 LAINAT'!L32+IF('6. T3 TASE'!I73-'6. T3 TASE'!H73&gt;0,'6. T3 TASE'!I73-'6. T3 TASE'!H73,0)+IF('6. T3 TASE'!I71-'6. T3 TASE'!H71&gt;0,'6. T3 TASE'!I71-'6. T3 TASE'!H71,0)</f>
        <v>0</v>
      </c>
      <c r="J17" s="611">
        <f>'2. T7 LAINAT'!O32+IF('6. T3 TASE'!J73-'6. T3 TASE'!I73&gt;0,'6. T3 TASE'!J73-'6. T3 TASE'!I73,0)+IF('6. T3 TASE'!J71-'6. T3 TASE'!I71&gt;0,'6. T3 TASE'!J71-'6. T3 TASE'!I71,0)</f>
        <v>0</v>
      </c>
      <c r="L17" s="487" t="s">
        <v>350</v>
      </c>
      <c r="M17" s="1205"/>
      <c r="N17" s="1205"/>
      <c r="O17" s="2055"/>
      <c r="P17" s="2055"/>
      <c r="Q17" s="2055"/>
      <c r="R17" s="2055"/>
      <c r="S17" s="1205"/>
      <c r="T17" s="1216"/>
    </row>
    <row r="18" spans="1:24" ht="13.5" customHeight="1" x14ac:dyDescent="0.25">
      <c r="B18" s="167" t="s">
        <v>34</v>
      </c>
      <c r="C18" s="309" t="s">
        <v>351</v>
      </c>
      <c r="D18" s="309"/>
      <c r="E18" s="310" t="s">
        <v>345</v>
      </c>
      <c r="F18" s="629">
        <v>0</v>
      </c>
      <c r="G18" s="1768">
        <f>'2. T7 LAINAT'!F34</f>
        <v>0</v>
      </c>
      <c r="H18" s="1768">
        <f>'2. T7 LAINAT'!I35</f>
        <v>0</v>
      </c>
      <c r="I18" s="1768">
        <f>'2. T7 LAINAT'!L36</f>
        <v>0</v>
      </c>
      <c r="J18" s="611">
        <f>'2. T7 LAINAT'!O38</f>
        <v>0</v>
      </c>
      <c r="L18" s="2056" t="s">
        <v>352</v>
      </c>
      <c r="M18" s="2057"/>
      <c r="N18" s="2057"/>
      <c r="O18" s="2058"/>
      <c r="P18" s="637"/>
      <c r="Q18" s="1768">
        <f>'7. T2 TULOSSUUN.'!G20</f>
        <v>0</v>
      </c>
      <c r="R18" s="1768">
        <f>'7. T2 TULOSSUUN.'!I20</f>
        <v>0</v>
      </c>
      <c r="S18" s="747">
        <f>'7. T2 TULOSSUUN.'!K20</f>
        <v>0</v>
      </c>
      <c r="T18" s="611">
        <f>'7. T2 TULOSSUUN.'!M20</f>
        <v>0</v>
      </c>
      <c r="X18">
        <v>0</v>
      </c>
    </row>
    <row r="19" spans="1:24" ht="13.5" customHeight="1" x14ac:dyDescent="0.25">
      <c r="B19" s="167" t="s">
        <v>36</v>
      </c>
      <c r="C19" s="427" t="s">
        <v>353</v>
      </c>
      <c r="D19" s="427"/>
      <c r="E19" s="310" t="s">
        <v>345</v>
      </c>
      <c r="F19" s="629">
        <v>0</v>
      </c>
      <c r="G19" s="1768">
        <f>'6. T3 TASE'!G77+'6. T3 TASE'!G78</f>
        <v>0</v>
      </c>
      <c r="H19" s="1768">
        <f>IF('6. T3 TASE'!H77-'6. T3 TASE'!G77&gt;0,'6. T3 TASE'!H77-'6. T3 TASE'!G77,0)+IF('6. T3 TASE'!H78-'6. T3 TASE'!G78&gt;0,'6. T3 TASE'!H78-'6. T3 TASE'!G78,0)</f>
        <v>0</v>
      </c>
      <c r="I19" s="1768">
        <f>IF('6. T3 TASE'!I77-'6. T3 TASE'!H77&gt;0,'6. T3 TASE'!I77-'6. T3 TASE'!H77,0)+IF('6. T3 TASE'!I78-'6. T3 TASE'!H78&gt;0,'6. T3 TASE'!I78-'6. T3 TASE'!H78,0)</f>
        <v>0</v>
      </c>
      <c r="J19" s="611">
        <f>IF('6. T3 TASE'!J77-'6. T3 TASE'!I77&gt;0,'6. T3 TASE'!J77-'6. T3 TASE'!I77,0)+IF('6. T3 TASE'!J78-'6. T3 TASE'!I78&gt;0,'6. T3 TASE'!J78-'6. T3 TASE'!I78,0)</f>
        <v>0</v>
      </c>
      <c r="L19" s="2059" t="s">
        <v>354</v>
      </c>
      <c r="M19" s="2060"/>
      <c r="N19" s="2060"/>
      <c r="O19" s="2061"/>
      <c r="P19" s="644"/>
      <c r="Q19" s="906">
        <f>'7. T2 TULOSSUUN.'!H20/100</f>
        <v>0</v>
      </c>
      <c r="R19" s="906">
        <f>'7. T2 TULOSSUUN.'!J20/100</f>
        <v>0</v>
      </c>
      <c r="S19" s="1211">
        <f>'7. T2 TULOSSUUN.'!L20/100</f>
        <v>0</v>
      </c>
      <c r="T19" s="907">
        <f>'7. T2 TULOSSUUN.'!N20/100</f>
        <v>0</v>
      </c>
    </row>
    <row r="20" spans="1:24" ht="24" customHeight="1" x14ac:dyDescent="0.25">
      <c r="B20" s="167" t="s">
        <v>38</v>
      </c>
      <c r="C20" s="2062" t="s">
        <v>355</v>
      </c>
      <c r="D20" s="2062"/>
      <c r="E20" s="310" t="s">
        <v>345</v>
      </c>
      <c r="F20" s="630"/>
      <c r="G20" s="1768">
        <f>'AT1 Avustus, alv'!E50+'1. T1 INVESTOINTISUUN.'!E49+'6. T3 TASE'!G36+'6. T3 TASE'!G16+'6. T3 TASE'!G21+'6. T3 TASE'!G24+'6. T3 TASE'!G28+'6. T3 TASE'!G32</f>
        <v>0</v>
      </c>
      <c r="H20" s="1768">
        <f>'AT1 Avustus, alv'!F50+'1. T1 INVESTOINTISUUN.'!F49+'6. T3 TASE'!H36+'6. T3 TASE'!H16+'6. T3 TASE'!H21+'6. T3 TASE'!H24+'6. T3 TASE'!H28+'6. T3 TASE'!H32</f>
        <v>0</v>
      </c>
      <c r="I20" s="1768">
        <f>'AT1 Avustus, alv'!G50+'1. T1 INVESTOINTISUUN.'!G49+'6. T3 TASE'!I36+'6. T3 TASE'!I16+'6. T3 TASE'!I21+'6. T3 TASE'!I24+'6. T3 TASE'!I28+'6. T3 TASE'!I32</f>
        <v>0</v>
      </c>
      <c r="J20" s="611">
        <f>'AT1 Avustus, alv'!H50+'1. T1 INVESTOINTISUUN.'!H49+'6. T3 TASE'!J36+'6. T3 TASE'!J16+'6. T3 TASE'!J21+'6. T3 TASE'!J24+'6. T3 TASE'!J28+'6. T3 TASE'!J32</f>
        <v>0</v>
      </c>
      <c r="L20" s="903" t="s">
        <v>356</v>
      </c>
      <c r="P20" s="644"/>
      <c r="Q20" s="1768">
        <f>'7. T2 TULOSSUUN.'!G22</f>
        <v>0</v>
      </c>
      <c r="R20" s="1768">
        <f>'7. T2 TULOSSUUN.'!I22</f>
        <v>0</v>
      </c>
      <c r="S20" s="747">
        <f>'7. T2 TULOSSUUN.'!K22</f>
        <v>0</v>
      </c>
      <c r="T20" s="611">
        <f>'7. T2 TULOSSUUN.'!M22</f>
        <v>0</v>
      </c>
      <c r="X20">
        <v>0</v>
      </c>
    </row>
    <row r="21" spans="1:24" ht="13.5" customHeight="1" thickBot="1" x14ac:dyDescent="0.3">
      <c r="B21" s="279" t="s">
        <v>40</v>
      </c>
      <c r="C21" s="479" t="s">
        <v>261</v>
      </c>
      <c r="D21" s="479"/>
      <c r="E21" s="1131"/>
      <c r="F21" s="631"/>
      <c r="G21" s="874">
        <f>SUM(G15:G20)</f>
        <v>0</v>
      </c>
      <c r="H21" s="874">
        <f>SUM(H15:H20)</f>
        <v>0</v>
      </c>
      <c r="I21" s="874">
        <f>SUM(I15:I20)</f>
        <v>0</v>
      </c>
      <c r="J21" s="947">
        <f>SUM(J15:J20)</f>
        <v>0</v>
      </c>
      <c r="L21" s="424" t="s">
        <v>357</v>
      </c>
      <c r="M21" s="1779"/>
      <c r="N21" s="1779"/>
      <c r="O21" s="315"/>
      <c r="P21" s="644"/>
      <c r="Q21" s="906">
        <f>'7. T2 TULOSSUUN.'!H22/100</f>
        <v>0</v>
      </c>
      <c r="R21" s="906">
        <f>'7. T2 TULOSSUUN.'!J22/100</f>
        <v>0</v>
      </c>
      <c r="S21" s="1211">
        <f>'7. T2 TULOSSUUN.'!L22/100</f>
        <v>0</v>
      </c>
      <c r="T21" s="907">
        <f>'7. T2 TULOSSUUN.'!N22/100</f>
        <v>0</v>
      </c>
    </row>
    <row r="22" spans="1:24" ht="13.5" customHeight="1" thickBot="1" x14ac:dyDescent="0.3">
      <c r="B22" s="480"/>
      <c r="C22" s="1784"/>
      <c r="D22" s="1784"/>
      <c r="E22" s="481"/>
      <c r="F22" s="482"/>
      <c r="G22" s="1078"/>
      <c r="H22" s="1078"/>
      <c r="I22" s="1078"/>
      <c r="J22" s="1078"/>
      <c r="L22" s="141"/>
      <c r="M22" s="904" t="s">
        <v>358</v>
      </c>
      <c r="N22" s="905"/>
      <c r="P22" s="644"/>
      <c r="Q22" s="1132">
        <f>IF(Q21=0,0,IF(Q21&gt;10%,"Hyvä",IF(Q21&lt;5%,"Heikko","Tyydyttävä")))</f>
        <v>0</v>
      </c>
      <c r="R22" s="1132">
        <f>IF(R21=0,0,IF(R21&gt;10%,"Hyvä",IF(R21&lt;5%,"Heikko","Tyydyttävä")))</f>
        <v>0</v>
      </c>
      <c r="S22" s="1212">
        <f>IF(S21=0,0,IF(S21&gt;10%,"Hyvä",IF(S21&lt;5%,"Heikko","Tyydyttävä")))</f>
        <v>0</v>
      </c>
      <c r="T22" s="1133">
        <f>IF(T21=0,0,IF(T21&gt;10%,"Hyvä",IF(T21&lt;5%,"Heikko","Tyydyttävä")))</f>
        <v>0</v>
      </c>
    </row>
    <row r="23" spans="1:24" ht="13.5" customHeight="1" x14ac:dyDescent="0.25">
      <c r="B23" s="546" t="s">
        <v>359</v>
      </c>
      <c r="C23" s="468"/>
      <c r="D23" s="468"/>
      <c r="E23" s="469"/>
      <c r="F23" s="632"/>
      <c r="G23" s="1079"/>
      <c r="H23" s="1079"/>
      <c r="I23" s="1079"/>
      <c r="J23" s="1080"/>
      <c r="L23" s="1778" t="s">
        <v>360</v>
      </c>
      <c r="M23" s="1779"/>
      <c r="N23" s="1779"/>
      <c r="O23" s="1780"/>
      <c r="P23" s="637"/>
      <c r="Q23" s="1768">
        <f>'7. T2 TULOSSUUN.'!G31</f>
        <v>0</v>
      </c>
      <c r="R23" s="1768">
        <f>'7. T2 TULOSSUUN.'!I31</f>
        <v>0</v>
      </c>
      <c r="S23" s="747">
        <f>'7. T2 TULOSSUUN.'!K31</f>
        <v>0</v>
      </c>
      <c r="T23" s="611">
        <f>'7. T2 TULOSSUUN.'!M31</f>
        <v>0</v>
      </c>
    </row>
    <row r="24" spans="1:24" ht="13.5" customHeight="1" x14ac:dyDescent="0.25">
      <c r="B24" s="167" t="s">
        <v>42</v>
      </c>
      <c r="C24" s="136" t="s">
        <v>361</v>
      </c>
      <c r="D24" s="136"/>
      <c r="E24" s="313" t="s">
        <v>345</v>
      </c>
      <c r="F24" s="630"/>
      <c r="G24" s="1768">
        <f>'AT1 Avustus, alv'!E4</f>
        <v>0</v>
      </c>
      <c r="H24" s="1768">
        <f>'AT1 Avustus, alv'!F4</f>
        <v>0</v>
      </c>
      <c r="I24" s="1768">
        <f>'AT1 Avustus, alv'!G4</f>
        <v>0</v>
      </c>
      <c r="J24" s="611">
        <f>'AT1 Avustus, alv'!H4</f>
        <v>0</v>
      </c>
      <c r="L24" s="1778" t="s">
        <v>362</v>
      </c>
      <c r="M24" s="1779"/>
      <c r="N24" s="1779"/>
      <c r="O24" s="1780"/>
      <c r="P24" s="640"/>
      <c r="Q24" s="906">
        <f>'7. T2 TULOSSUUN.'!H31/100</f>
        <v>0</v>
      </c>
      <c r="R24" s="906">
        <f>'7. T2 TULOSSUUN.'!J31/100</f>
        <v>0</v>
      </c>
      <c r="S24" s="1211">
        <f>'7. T2 TULOSSUUN.'!L31/100</f>
        <v>0</v>
      </c>
      <c r="T24" s="907">
        <f>'7. T2 TULOSSUUN.'!N31/100</f>
        <v>0</v>
      </c>
    </row>
    <row r="25" spans="1:24" ht="13.5" customHeight="1" x14ac:dyDescent="0.25">
      <c r="B25" s="167" t="s">
        <v>44</v>
      </c>
      <c r="C25" s="447" t="s">
        <v>363</v>
      </c>
      <c r="D25" s="447"/>
      <c r="E25" s="453" t="s">
        <v>345</v>
      </c>
      <c r="F25" s="630"/>
      <c r="G25" s="1768">
        <f>'AT1 Avustus, alv'!E10+'AT1 Avustus, alv'!E15</f>
        <v>0</v>
      </c>
      <c r="H25" s="1768">
        <f>'AT1 Avustus, alv'!F10+'AT1 Avustus, alv'!F15</f>
        <v>0</v>
      </c>
      <c r="I25" s="1768">
        <f>'AT1 Avustus, alv'!G10+'AT1 Avustus, alv'!G15</f>
        <v>0</v>
      </c>
      <c r="J25" s="611">
        <f>'AT1 Avustus, alv'!H10+'AT1 Avustus, alv'!H15</f>
        <v>0</v>
      </c>
      <c r="L25" s="1770" t="s">
        <v>364</v>
      </c>
      <c r="M25" s="1771"/>
      <c r="N25" s="1771"/>
      <c r="O25" s="1772"/>
      <c r="P25" s="640"/>
      <c r="Q25" s="906">
        <f>IF(Q16=0,0,(Q102-'7. T2 TULOSSUUN.'!G25-'7. T2 TULOSSUUN.'!G27)/'5. T4 RAHOITUSSUUN.'!Q110)</f>
        <v>0</v>
      </c>
      <c r="R25" s="906">
        <f>IF(R16=0,0,(R102-'7. T2 TULOSSUUN.'!I25-'7. T2 TULOSSUUN.'!I27)/'5. T4 RAHOITUSSUUN.'!R110)</f>
        <v>0</v>
      </c>
      <c r="S25" s="1211">
        <f>IF(S16=0,0,(S102-'7. T2 TULOSSUUN.'!K25-'7. T2 TULOSSUUN.'!K27)/'5. T4 RAHOITUSSUUN.'!S110)</f>
        <v>0</v>
      </c>
      <c r="T25" s="907">
        <f>IF(T16=0,0,(T102-'7. T2 TULOSSUUN.'!M25-'7. T2 TULOSSUUN.'!M27)/'5. T4 RAHOITUSSUUN.'!T110)</f>
        <v>0</v>
      </c>
    </row>
    <row r="26" spans="1:24" ht="13.5" customHeight="1" x14ac:dyDescent="0.25">
      <c r="B26" s="167" t="s">
        <v>46</v>
      </c>
      <c r="C26" s="447" t="s">
        <v>365</v>
      </c>
      <c r="D26" s="447"/>
      <c r="E26" s="453" t="s">
        <v>345</v>
      </c>
      <c r="F26" s="630"/>
      <c r="G26" s="1768">
        <f>'AT1 Avustus, alv'!E23+'AT1 Avustus, alv'!E30</f>
        <v>0</v>
      </c>
      <c r="H26" s="1768">
        <f>'AT1 Avustus, alv'!F23+'AT1 Avustus, alv'!F30</f>
        <v>0</v>
      </c>
      <c r="I26" s="1768">
        <f>'AT1 Avustus, alv'!G23+'AT1 Avustus, alv'!G30</f>
        <v>0</v>
      </c>
      <c r="J26" s="611">
        <f>'AT1 Avustus, alv'!H23+'AT1 Avustus, alv'!H30</f>
        <v>0</v>
      </c>
      <c r="L26" s="487" t="s">
        <v>366</v>
      </c>
      <c r="M26" s="1205"/>
      <c r="N26" s="1206"/>
      <c r="O26" s="1206"/>
      <c r="P26" s="1206"/>
      <c r="Q26" s="1207"/>
      <c r="R26" s="1207"/>
      <c r="S26" s="1207"/>
      <c r="T26" s="1217"/>
    </row>
    <row r="27" spans="1:24" ht="13.5" customHeight="1" x14ac:dyDescent="0.25">
      <c r="B27" s="167" t="s">
        <v>50</v>
      </c>
      <c r="C27" s="447" t="s">
        <v>367</v>
      </c>
      <c r="D27" s="447"/>
      <c r="E27" s="453" t="s">
        <v>345</v>
      </c>
      <c r="F27" s="630"/>
      <c r="G27" s="1768">
        <f>'AT1 Avustus, alv'!E36+'AT1 Avustus, alv'!E43</f>
        <v>0</v>
      </c>
      <c r="H27" s="1768">
        <f>'AT1 Avustus, alv'!F36+'AT1 Avustus, alv'!F43</f>
        <v>0</v>
      </c>
      <c r="I27" s="1768">
        <f>'AT1 Avustus, alv'!G36+'AT1 Avustus, alv'!G43</f>
        <v>0</v>
      </c>
      <c r="J27" s="611">
        <f>'AT1 Avustus, alv'!H36+'AT1 Avustus, alv'!H43</f>
        <v>0</v>
      </c>
      <c r="L27" s="1775" t="s">
        <v>368</v>
      </c>
      <c r="M27" s="1776"/>
      <c r="N27" s="1776"/>
      <c r="O27" s="1776"/>
      <c r="P27" s="642"/>
      <c r="Q27" s="1083">
        <f>IF('6. T3 TASE'!G74=0,0,('6. T3 TASE'!G41+'6. T3 TASE'!G48+'6. T3 TASE'!G49)/'6. T3 TASE'!G74)</f>
        <v>0</v>
      </c>
      <c r="R27" s="1083">
        <f>IF('6. T3 TASE'!H74=0,0,('6. T3 TASE'!H41+'6. T3 TASE'!H48+'6. T3 TASE'!H49)/'6. T3 TASE'!H74)</f>
        <v>0</v>
      </c>
      <c r="S27" s="1083">
        <f>IF('6. T3 TASE'!I74=0,0,('6. T3 TASE'!I41+'6. T3 TASE'!I48+'6. T3 TASE'!I49)/'6. T3 TASE'!I74)</f>
        <v>0</v>
      </c>
      <c r="T27" s="1084">
        <f>IF('6. T3 TASE'!J74=0,0,('6. T3 TASE'!J41+'6. T3 TASE'!J48+'6. T3 TASE'!J49)/'6. T3 TASE'!J74)</f>
        <v>0</v>
      </c>
    </row>
    <row r="28" spans="1:24" ht="13.5" customHeight="1" x14ac:dyDescent="0.25">
      <c r="B28" s="167" t="s">
        <v>54</v>
      </c>
      <c r="C28" s="447" t="s">
        <v>369</v>
      </c>
      <c r="D28" s="447"/>
      <c r="E28" s="454" t="s">
        <v>370</v>
      </c>
      <c r="F28" s="630"/>
      <c r="G28" s="1768">
        <f>G59</f>
        <v>0</v>
      </c>
      <c r="H28" s="1768">
        <f>H60</f>
        <v>0</v>
      </c>
      <c r="I28" s="1768">
        <f>I60</f>
        <v>0</v>
      </c>
      <c r="J28" s="611">
        <f>J60</f>
        <v>0</v>
      </c>
      <c r="L28" s="488"/>
      <c r="M28" s="824" t="s">
        <v>358</v>
      </c>
      <c r="N28" s="825"/>
      <c r="O28" s="826"/>
      <c r="P28" s="641"/>
      <c r="Q28" s="1132">
        <f>IF('6. T3 TASE'!G74=0,0,IF(Q27&gt;1,"Hyvä",IF(Q27&lt;0.5,"Heikko","Tyydyttävä")))</f>
        <v>0</v>
      </c>
      <c r="R28" s="1132">
        <f>IF('6. T3 TASE'!H74=0,0,IF(R27&gt;1,"Hyvä",IF(R27&lt;0.5,"Heikko","Tyydyttävä")))</f>
        <v>0</v>
      </c>
      <c r="S28" s="1212">
        <f>IF('6. T3 TASE'!I74=0,0,IF(S27&gt;1,"Hyvä",IF(S27&lt;0.5,"Heikko","Tyydyttävä")))</f>
        <v>0</v>
      </c>
      <c r="T28" s="1133">
        <f>IF('6. T3 TASE'!J74=0,0,IF(T27&gt;1,"Hyvä",IF(T27&lt;0.5,"Heikko","Tyydyttävä")))</f>
        <v>0</v>
      </c>
      <c r="V28" s="1143"/>
    </row>
    <row r="29" spans="1:24" ht="13.5" customHeight="1" x14ac:dyDescent="0.25">
      <c r="B29" s="167" t="s">
        <v>56</v>
      </c>
      <c r="C29" s="447" t="s">
        <v>371</v>
      </c>
      <c r="D29" s="447"/>
      <c r="E29" s="453" t="s">
        <v>345</v>
      </c>
      <c r="F29" s="629"/>
      <c r="G29" s="1768">
        <f>'6. T3 TASE'!G48</f>
        <v>0</v>
      </c>
      <c r="H29" s="1768">
        <f>'6. T3 TASE'!H48-'6. T3 TASE'!G48</f>
        <v>0</v>
      </c>
      <c r="I29" s="1768">
        <f>'6. T3 TASE'!I48-'6. T3 TASE'!H48</f>
        <v>0</v>
      </c>
      <c r="J29" s="611">
        <f>'6. T3 TASE'!J48-'6. T3 TASE'!I48</f>
        <v>0</v>
      </c>
      <c r="L29" s="1775" t="s">
        <v>372</v>
      </c>
      <c r="M29" s="1776"/>
      <c r="N29" s="1776"/>
      <c r="O29" s="1776"/>
      <c r="P29" s="643"/>
      <c r="Q29" s="1083">
        <f>IF('6. T3 TASE'!G74=0,0,'6. T3 TASE'!G38/'6. T3 TASE'!G74)</f>
        <v>0</v>
      </c>
      <c r="R29" s="1083">
        <f>IF('6. T3 TASE'!H74=0,0,'6. T3 TASE'!H38/'6. T3 TASE'!H74)</f>
        <v>0</v>
      </c>
      <c r="S29" s="1213">
        <f>IF('6. T3 TASE'!I74=0,0,'6. T3 TASE'!I38/'6. T3 TASE'!I74)</f>
        <v>0</v>
      </c>
      <c r="T29" s="1084">
        <f>IF('6. T3 TASE'!J74=0,0,'6. T3 TASE'!J38/'6. T3 TASE'!J74)</f>
        <v>0</v>
      </c>
    </row>
    <row r="30" spans="1:24" ht="13.5" customHeight="1" x14ac:dyDescent="0.25">
      <c r="B30" s="167" t="s">
        <v>58</v>
      </c>
      <c r="C30" s="447" t="s">
        <v>373</v>
      </c>
      <c r="D30" s="447"/>
      <c r="E30" s="453" t="s">
        <v>345</v>
      </c>
      <c r="F30" s="629"/>
      <c r="G30" s="1768">
        <f>'2. T7 LAINAT'!G32</f>
        <v>0</v>
      </c>
      <c r="H30" s="1768">
        <f>'2. T7 LAINAT'!J32</f>
        <v>0</v>
      </c>
      <c r="I30" s="1768">
        <f>'2. T7 LAINAT'!M32</f>
        <v>0</v>
      </c>
      <c r="J30" s="611">
        <f>'2. T7 LAINAT'!P32</f>
        <v>0</v>
      </c>
      <c r="L30" s="489"/>
      <c r="M30" s="824" t="s">
        <v>358</v>
      </c>
      <c r="N30" s="825"/>
      <c r="O30" s="826"/>
      <c r="P30" s="641"/>
      <c r="Q30" s="1132">
        <f>IF('6. T3 TASE'!G74=0,0,IF(Q29&gt;2,"Hyvä",IF(Q29&lt;1,"Heikko","Tyydyttävä")))</f>
        <v>0</v>
      </c>
      <c r="R30" s="1132">
        <f>IF('6. T3 TASE'!H74=0,0,IF(R29&gt;2,"Hyvä",IF(R29&lt;1,"Heikko","Tyydyttävä")))</f>
        <v>0</v>
      </c>
      <c r="S30" s="1212">
        <f>IF('6. T3 TASE'!I74=0,0,IF(S29&gt;2,"Hyvä",IF(S29&lt;1,"Heikko","Tyydyttävä")))</f>
        <v>0</v>
      </c>
      <c r="T30" s="1133">
        <f>IF('6. T3 TASE'!J74=0,0,IF(T29&gt;2,"Hyvä",IF(T29&lt;1,"Heikko","Tyydyttävä")))</f>
        <v>0</v>
      </c>
    </row>
    <row r="31" spans="1:24" ht="13.5" customHeight="1" x14ac:dyDescent="0.25">
      <c r="B31" s="167" t="s">
        <v>66</v>
      </c>
      <c r="C31" s="447" t="s">
        <v>374</v>
      </c>
      <c r="D31" s="447"/>
      <c r="E31" s="453" t="s">
        <v>345</v>
      </c>
      <c r="F31" s="629"/>
      <c r="G31" s="1612">
        <v>0</v>
      </c>
      <c r="H31" s="1768">
        <f>-IF('6. T3 TASE'!H61-'6. T3 TASE'!G61&lt;0,'6. T3 TASE'!H61-'6. T3 TASE'!G61,0)</f>
        <v>0</v>
      </c>
      <c r="I31" s="1768">
        <f>-IF('6. T3 TASE'!I61-'6. T3 TASE'!H61&lt;0,'6. T3 TASE'!I61-'6. T3 TASE'!H61,0)</f>
        <v>0</v>
      </c>
      <c r="J31" s="611">
        <f>-IF('6. T3 TASE'!J61-'6. T3 TASE'!I61&lt;0,'6. T3 TASE'!J61-'6. T3 TASE'!I61,0)</f>
        <v>0</v>
      </c>
      <c r="L31" s="1775" t="s">
        <v>375</v>
      </c>
      <c r="M31" s="1776"/>
      <c r="N31" s="1776"/>
      <c r="O31" s="1776"/>
      <c r="P31" s="642"/>
      <c r="Q31" s="1083">
        <f>IF(G15=0,0,('AT2 Lainat, alv'!O24)/'5. T4 RAHOITUSSUUN.'!G15)</f>
        <v>0</v>
      </c>
      <c r="R31" s="1083">
        <f>IF(H15=0,0,('AT2 Lainat, alv'!U24)/'5. T4 RAHOITUSSUUN.'!H15)</f>
        <v>0</v>
      </c>
      <c r="S31" s="1213">
        <f>IF(I15=0,0,('AT2 Lainat, alv'!AA24)/'5. T4 RAHOITUSSUUN.'!I15)</f>
        <v>0</v>
      </c>
      <c r="T31" s="1084">
        <f>IF(J15=0,0,('AT2 Lainat, alv'!AG24)/'5. T4 RAHOITUSSUUN.'!J15)</f>
        <v>0</v>
      </c>
    </row>
    <row r="32" spans="1:24" ht="13.5" customHeight="1" x14ac:dyDescent="0.25">
      <c r="B32" s="167" t="s">
        <v>68</v>
      </c>
      <c r="C32" s="447" t="s">
        <v>376</v>
      </c>
      <c r="D32" s="447"/>
      <c r="E32" s="453" t="s">
        <v>345</v>
      </c>
      <c r="F32" s="629"/>
      <c r="G32" s="1612"/>
      <c r="H32" s="1768">
        <f>-IF('6. T3 TASE'!H69-'6. T3 TASE'!G69&lt;0,'6. T3 TASE'!H69-'6. T3 TASE'!G69,0)</f>
        <v>0</v>
      </c>
      <c r="I32" s="1768">
        <f>-IF('6. T3 TASE'!I69-'6. T3 TASE'!H69&lt;0,'6. T3 TASE'!I69-'6. T3 TASE'!H69,0)</f>
        <v>0</v>
      </c>
      <c r="J32" s="611">
        <f>-IF('6. T3 TASE'!J69-'6. T3 TASE'!I69&lt;0,'6. T3 TASE'!J69-'6. T3 TASE'!I69,0)</f>
        <v>0</v>
      </c>
      <c r="L32" s="1778" t="s">
        <v>377</v>
      </c>
      <c r="M32" s="1779"/>
      <c r="N32" s="1779"/>
      <c r="O32" s="1779"/>
      <c r="P32" s="643"/>
      <c r="Q32" s="1083">
        <f>IF(-'7. T2 TULOSSUUN.'!G25+'2. T7 LAINAT'!G48=0,0,(G15-'7. T2 TULOSSUUN.'!G25)/(-'7. T2 TULOSSUUN.'!G25+'2. T7 LAINAT'!G32))</f>
        <v>0</v>
      </c>
      <c r="R32" s="1083">
        <f>IF(-'7. T2 TULOSSUUN.'!I25+'2. T7 LAINAT'!J32=0,0,(H15-'7. T2 TULOSSUUN.'!I25)/(-'7. T2 TULOSSUUN.'!I25+'2. T7 LAINAT'!J32))</f>
        <v>0</v>
      </c>
      <c r="S32" s="1213">
        <f>IF(-'7. T2 TULOSSUUN.'!K25+'2. T7 LAINAT'!M32=0,0,(I15-'7. T2 TULOSSUUN.'!K25)/(-'7. T2 TULOSSUUN.'!K25+'2. T7 LAINAT'!M32))</f>
        <v>0</v>
      </c>
      <c r="T32" s="1084">
        <f>IF(-'7. T2 TULOSSUUN.'!M25+'2. T7 LAINAT'!P32=0,0,(J15-'7. T2 TULOSSUUN.'!M25)/(-'7. T2 TULOSSUUN.'!M25+'2. T7 LAINAT'!P32))</f>
        <v>0</v>
      </c>
    </row>
    <row r="33" spans="2:25" ht="13.5" customHeight="1" x14ac:dyDescent="0.25">
      <c r="B33" s="167" t="s">
        <v>71</v>
      </c>
      <c r="C33" s="447" t="s">
        <v>378</v>
      </c>
      <c r="D33" s="447"/>
      <c r="E33" s="453" t="s">
        <v>345</v>
      </c>
      <c r="F33" s="629"/>
      <c r="G33" s="1612"/>
      <c r="H33" s="1768">
        <f>-IF('6. T3 TASE'!H71-'6. T3 TASE'!G71&lt;0,'6. T3 TASE'!H71-'6. T3 TASE'!G71,0)</f>
        <v>0</v>
      </c>
      <c r="I33" s="1768">
        <f>-IF('6. T3 TASE'!I71-'6. T3 TASE'!H71&lt;0,'6. T3 TASE'!I71-'6. T3 TASE'!H71,0)</f>
        <v>0</v>
      </c>
      <c r="J33" s="611">
        <f>-IF('6. T3 TASE'!J71-'6. T3 TASE'!I71&lt;0,'6. T3 TASE'!J71-'6. T3 TASE'!I71,0)</f>
        <v>0</v>
      </c>
      <c r="L33" s="489"/>
      <c r="M33" s="824" t="s">
        <v>358</v>
      </c>
      <c r="N33" s="825"/>
      <c r="O33" s="826"/>
      <c r="P33" s="641"/>
      <c r="Q33" s="1132">
        <f>IF('7. T2 TULOSSUUN.'!G25+'2. T7 LAINAT'!G32=0,0,IF(Q32&gt;2,"Hyvä",IF(Q32&lt;1,"Heikko","Tyydyttävä")))</f>
        <v>0</v>
      </c>
      <c r="R33" s="1132">
        <f>IF('7. T2 TULOSSUUN.'!I25+'2. T7 LAINAT'!J32=0,0,IF(R32&gt;2,"Hyvä",IF(R32&lt;1,"Heikko","Tyydyttävä")))</f>
        <v>0</v>
      </c>
      <c r="S33" s="1212">
        <f>IF('7. T2 TULOSSUUN.'!K25+'2. T7 LAINAT'!M32=0,0,IF(S32&gt;2,"Hyvä",IF(S32&lt;1,"Heikko","Tyydyttävä")))</f>
        <v>0</v>
      </c>
      <c r="T33" s="1133">
        <f>IF('7. T2 TULOSSUUN.'!M25+'2. T7 LAINAT'!P32=0,0,IF(T32&gt;2,"Hyvä",IF(T32&lt;1,"Heikko","Tyydyttävä")))</f>
        <v>0</v>
      </c>
    </row>
    <row r="34" spans="2:25" ht="12.75" customHeight="1" x14ac:dyDescent="0.25">
      <c r="B34" s="167" t="s">
        <v>74</v>
      </c>
      <c r="C34" s="2063" t="s">
        <v>379</v>
      </c>
      <c r="D34" s="2063"/>
      <c r="E34" s="186" t="s">
        <v>345</v>
      </c>
      <c r="F34" s="630"/>
      <c r="G34" s="1612">
        <v>0</v>
      </c>
      <c r="H34" s="1768">
        <f>-IF('6. T3 TASE'!H73-'6. T3 TASE'!G73&lt;0,'6. T3 TASE'!H73-'6. T3 TASE'!G73,0)</f>
        <v>0</v>
      </c>
      <c r="I34" s="1768">
        <f>-IF('6. T3 TASE'!I73-'6. T3 TASE'!H73&lt;0,'6. T3 TASE'!I73-'6. T3 TASE'!H73,0)</f>
        <v>0</v>
      </c>
      <c r="J34" s="611">
        <f>-IF('6. T3 TASE'!J73-'6. T3 TASE'!I73&lt;0,'6. T3 TASE'!J73-'6. T3 TASE'!I73,0)</f>
        <v>0</v>
      </c>
      <c r="L34" s="487" t="s">
        <v>380</v>
      </c>
      <c r="M34" s="1205"/>
      <c r="N34" s="1205"/>
      <c r="O34" s="1205"/>
      <c r="P34" s="1205"/>
      <c r="Q34" s="1207"/>
      <c r="R34" s="1207"/>
      <c r="S34" s="1207"/>
      <c r="T34" s="1217"/>
    </row>
    <row r="35" spans="2:25" ht="13.5" customHeight="1" x14ac:dyDescent="0.25">
      <c r="B35" s="167" t="s">
        <v>76</v>
      </c>
      <c r="C35" s="447" t="s">
        <v>381</v>
      </c>
      <c r="D35" s="447"/>
      <c r="E35" s="454" t="s">
        <v>370</v>
      </c>
      <c r="F35" s="630"/>
      <c r="G35" s="348">
        <v>0</v>
      </c>
      <c r="H35" s="348">
        <v>0</v>
      </c>
      <c r="I35" s="348">
        <v>0</v>
      </c>
      <c r="J35" s="1081">
        <v>0</v>
      </c>
      <c r="L35" s="1775" t="s">
        <v>382</v>
      </c>
      <c r="M35" s="1776"/>
      <c r="N35" s="1776"/>
      <c r="O35" s="1777"/>
      <c r="P35" s="640"/>
      <c r="Q35" s="906">
        <f>IF('6. T3 TASE'!G98=0,0,IF('6. T3 TASE'!G98&lt;0,0,'6. T3 TASE'!G56/('6. T3 TASE'!G98-'6. T3 TASE'!G94)))</f>
        <v>0</v>
      </c>
      <c r="R35" s="906">
        <f>IF('6. T3 TASE'!H98=0,0,IF('6. T3 TASE'!H98&lt;0,0,'6. T3 TASE'!H56/('6. T3 TASE'!H98-'6. T3 TASE'!H94)))</f>
        <v>0</v>
      </c>
      <c r="S35" s="1211">
        <f>IF('6. T3 TASE'!I98=0,0,IF('6. T3 TASE'!I98&lt;0,0,'6. T3 TASE'!I56/('6. T3 TASE'!I98-'6. T3 TASE'!I94)))</f>
        <v>0</v>
      </c>
      <c r="T35" s="907">
        <f>IF('6. T3 TASE'!J98=0,0,IF('6. T3 TASE'!J98&lt;0,0,'6. T3 TASE'!J56/('6. T3 TASE'!J98-'6. T3 TASE'!J94)))</f>
        <v>0</v>
      </c>
    </row>
    <row r="36" spans="2:25" ht="13.5" customHeight="1" x14ac:dyDescent="0.25">
      <c r="B36" s="167" t="s">
        <v>78</v>
      </c>
      <c r="C36" s="447" t="s">
        <v>383</v>
      </c>
      <c r="D36" s="447"/>
      <c r="E36" s="453" t="s">
        <v>345</v>
      </c>
      <c r="F36" s="630"/>
      <c r="G36" s="1768">
        <f>'2. T7 LAINAT'!G38</f>
        <v>0</v>
      </c>
      <c r="H36" s="1768">
        <f>'2. T7 LAINAT'!J38</f>
        <v>0</v>
      </c>
      <c r="I36" s="1768">
        <f>'2. T7 LAINAT'!M38</f>
        <v>0</v>
      </c>
      <c r="J36" s="611">
        <f>'2. T7 LAINAT'!P38</f>
        <v>0</v>
      </c>
      <c r="L36" s="489"/>
      <c r="M36" s="824" t="s">
        <v>358</v>
      </c>
      <c r="N36" s="825"/>
      <c r="O36" s="826"/>
      <c r="P36" s="641"/>
      <c r="Q36" s="1132">
        <f>IF(Q35=0,0,IF(Q35&gt;40%,"Hyvä",IF(Q35&lt;20%,"Heikko","Tyydyttävä")))</f>
        <v>0</v>
      </c>
      <c r="R36" s="1132">
        <f>IF(R35=0,0,IF(R35&gt;40%,"Hyvä",IF(R35&lt;20%,"Heikko","Tyydyttävä")))</f>
        <v>0</v>
      </c>
      <c r="S36" s="1212">
        <f>IF(S35=0,0,IF(S35&gt;40%,"Hyvä",IF(S35&lt;20%,"Heikko","Tyydyttävä")))</f>
        <v>0</v>
      </c>
      <c r="T36" s="1133">
        <f>IF(T35=0,0,IF(T35&gt;40%,"Hyvä",IF(T35&lt;20%,"Heikko","Tyydyttävä")))</f>
        <v>0</v>
      </c>
    </row>
    <row r="37" spans="2:25" ht="13.5" customHeight="1" x14ac:dyDescent="0.25">
      <c r="B37" s="167" t="s">
        <v>80</v>
      </c>
      <c r="C37" s="447" t="s">
        <v>384</v>
      </c>
      <c r="D37" s="447"/>
      <c r="E37" s="454" t="s">
        <v>370</v>
      </c>
      <c r="F37" s="630"/>
      <c r="G37" s="1768">
        <f>'6. T3 TASE'!G83+'6. T3 TASE'!G89</f>
        <v>0</v>
      </c>
      <c r="H37" s="1768">
        <f>'6. T3 TASE'!H83+'6. T3 TASE'!H89-'6. T3 TASE'!G83-'6. T3 TASE'!G89</f>
        <v>0</v>
      </c>
      <c r="I37" s="1768">
        <f>'6. T3 TASE'!I83+'6. T3 TASE'!I89-'6. T3 TASE'!H83-'6. T3 TASE'!H89</f>
        <v>0</v>
      </c>
      <c r="J37" s="611">
        <f>'6. T3 TASE'!J83+'6. T3 TASE'!J89-'6. T3 TASE'!I83-'6. T3 TASE'!I89</f>
        <v>0</v>
      </c>
      <c r="L37" s="881" t="s">
        <v>385</v>
      </c>
      <c r="M37" s="882"/>
      <c r="N37" s="882"/>
      <c r="O37" s="883"/>
      <c r="P37" s="636"/>
      <c r="Q37" s="1088">
        <f>IF(Q104=0,0,(Q114-Q115)/Q104)</f>
        <v>0</v>
      </c>
      <c r="R37" s="1088">
        <f>IF(R104=0,0,(R114-R115)/R104)</f>
        <v>0</v>
      </c>
      <c r="S37" s="1088">
        <f>IF(S104=0,0,(S114-S115)/S104)</f>
        <v>0</v>
      </c>
      <c r="T37" s="336">
        <f>IF(T104=0,0,(T114-T115)/T104)</f>
        <v>0</v>
      </c>
    </row>
    <row r="38" spans="2:25" ht="13.5" customHeight="1" x14ac:dyDescent="0.25">
      <c r="B38" s="167" t="s">
        <v>82</v>
      </c>
      <c r="C38" s="447" t="s">
        <v>386</v>
      </c>
      <c r="D38" s="447"/>
      <c r="E38" s="453" t="s">
        <v>345</v>
      </c>
      <c r="F38" s="629"/>
      <c r="G38" s="1612">
        <v>0</v>
      </c>
      <c r="H38" s="1768">
        <f>-IF('6. T3 TASE'!H77-'6. T3 TASE'!G77&lt;0,'6. T3 TASE'!H77-'6. T3 TASE'!G77,0)-IF('6. T3 TASE'!H78-'6. T3 TASE'!G78&lt;0,'6. T3 TASE'!H78-'6. T3 TASE'!G78,0)</f>
        <v>0</v>
      </c>
      <c r="I38" s="1768">
        <f>-IF('6. T3 TASE'!I77-'6. T3 TASE'!H77&lt;0,'6. T3 TASE'!I77-'6. T3 TASE'!H77,0)-IF('6. T3 TASE'!I78-'6. T3 TASE'!H78&lt;0,'6. T3 TASE'!I78-'6. T3 TASE'!H78,0)</f>
        <v>0</v>
      </c>
      <c r="J38" s="611">
        <f>-IF('6. T3 TASE'!J77-'6. T3 TASE'!I77&lt;0,'6. T3 TASE'!J77-'6. T3 TASE'!I77,0)-IF('6. T3 TASE'!J78-'6. T3 TASE'!I78&lt;0,'6. T3 TASE'!J78-'6. T3 TASE'!I78,0)</f>
        <v>0</v>
      </c>
      <c r="L38" s="540"/>
      <c r="M38" s="824" t="s">
        <v>358</v>
      </c>
      <c r="N38" s="827"/>
      <c r="O38" s="452"/>
      <c r="P38" s="828"/>
      <c r="Q38" s="1132" t="str">
        <f>IF(Q37=0,"",IF('6. T3 TASE'!G56&lt;0,"Heikko",IF(Q37&lt;0,"Nettovelaton",IF(Q37&gt;1,"","Hyvä"))))</f>
        <v/>
      </c>
      <c r="R38" s="1132" t="str">
        <f>IF(R37=0,"",IF('6. T3 TASE'!H56&lt;0,"Heikko",IF(R37&lt;0,"Nettovelaton",IF(R37&gt;1,"","Hyvä"))))</f>
        <v/>
      </c>
      <c r="S38" s="1212" t="str">
        <f>IF(S37=0,"",IF('6. T3 TASE'!I56&lt;0,"Heikko",IF(S37&lt;0,"Nettovelaton",IF(S37&gt;1,"","Hyvä"))))</f>
        <v/>
      </c>
      <c r="T38" s="1133" t="str">
        <f>IF(T37=0,"",IF('6. T3 TASE'!J56&lt;0,"Heikko",IF(T37&lt;0,"Nettovelaton",IF(T37&gt;1,"","Hyvä"))))</f>
        <v/>
      </c>
    </row>
    <row r="39" spans="2:25" ht="13.5" customHeight="1" x14ac:dyDescent="0.25">
      <c r="B39" s="167" t="s">
        <v>84</v>
      </c>
      <c r="C39" s="447" t="s">
        <v>387</v>
      </c>
      <c r="D39" s="447"/>
      <c r="E39" s="453" t="s">
        <v>345</v>
      </c>
      <c r="F39" s="630"/>
      <c r="G39" s="609">
        <v>0</v>
      </c>
      <c r="H39" s="609">
        <f>R48</f>
        <v>0</v>
      </c>
      <c r="I39" s="609">
        <f>S48</f>
        <v>0</v>
      </c>
      <c r="J39" s="857">
        <f>T48</f>
        <v>0</v>
      </c>
      <c r="L39" s="490" t="s">
        <v>388</v>
      </c>
      <c r="M39" s="113"/>
      <c r="N39" s="113"/>
      <c r="O39" s="113"/>
      <c r="P39" s="113"/>
      <c r="Q39" s="218"/>
      <c r="R39" s="218"/>
      <c r="S39" s="218"/>
      <c r="T39" s="1138"/>
    </row>
    <row r="40" spans="2:25" ht="13.5" customHeight="1" x14ac:dyDescent="0.25">
      <c r="B40" s="167" t="s">
        <v>389</v>
      </c>
      <c r="C40" s="2064" t="s">
        <v>390</v>
      </c>
      <c r="D40" s="2064"/>
      <c r="E40" s="454" t="s">
        <v>345</v>
      </c>
      <c r="F40" s="629"/>
      <c r="G40" s="1768">
        <f>'1. T1 INVESTOINTISUUN.'!E38</f>
        <v>0</v>
      </c>
      <c r="H40" s="1768">
        <f>'1. T1 INVESTOINTISUUN.'!F38</f>
        <v>0</v>
      </c>
      <c r="I40" s="1768">
        <f>'1. T1 INVESTOINTISUUN.'!G38</f>
        <v>0</v>
      </c>
      <c r="J40" s="611">
        <f>'1. T1 INVESTOINTISUUN.'!H38</f>
        <v>0</v>
      </c>
      <c r="L40" s="1775" t="s">
        <v>391</v>
      </c>
      <c r="M40" s="1776"/>
      <c r="N40" s="1776"/>
      <c r="O40" s="1777"/>
      <c r="P40" s="636"/>
      <c r="Q40" s="1768">
        <f>('3. E1 KUSTANNUKSET'!D11+'3. E1 KUSTANNUKSET'!D29+'3. E1 KUSTANNUKSET'!D36+'3. E1 KUSTANNUKSET'!D38)/'7. T2 TULOSSUUN.'!G33</f>
        <v>0.45800000000000002</v>
      </c>
      <c r="R40" s="1768">
        <f>('3. E1 KUSTANNUKSET'!F11+'3. E1 KUSTANNUKSET'!F29+'3. E1 KUSTANNUKSET'!F36+'3. E1 KUSTANNUKSET'!F38)/'7. T2 TULOSSUUN.'!I33</f>
        <v>0.45800000000000002</v>
      </c>
      <c r="S40" s="747">
        <f>('3. E1 KUSTANNUKSET'!H11+'3. E1 KUSTANNUKSET'!H29+'3. E1 KUSTANNUKSET'!H36+'3. E1 KUSTANNUKSET'!H38)/'7. T2 TULOSSUUN.'!K33</f>
        <v>0.45800000000000002</v>
      </c>
      <c r="T40" s="611">
        <f>('3. E1 KUSTANNUKSET'!J11+'3. E1 KUSTANNUKSET'!J29+'3. E1 KUSTANNUKSET'!J36+'3. E1 KUSTANNUKSET'!J38)/'7. T2 TULOSSUUN.'!M33</f>
        <v>0.45800000000000002</v>
      </c>
    </row>
    <row r="41" spans="2:25" ht="13.5" customHeight="1" x14ac:dyDescent="0.25">
      <c r="B41" s="167" t="s">
        <v>392</v>
      </c>
      <c r="C41" s="455" t="s">
        <v>261</v>
      </c>
      <c r="D41" s="455"/>
      <c r="E41" s="456"/>
      <c r="F41" s="630"/>
      <c r="G41" s="1768">
        <f>G24+G25+G26+G27+G28+G29+G34+G36-G37+G38+G39+G40+G35+G30+G31+G32+G33</f>
        <v>0</v>
      </c>
      <c r="H41" s="1768">
        <f>H24+H25+H26+H27+H28+H29+H34+H36-H37+H38+H39+H40+H35+H30+H31+H32+H33</f>
        <v>0</v>
      </c>
      <c r="I41" s="1768">
        <f>I24+I25+I26+I27+I28+I29+I34+I36-I37+I38+I39+I40+I35+I30+I31+I32+I33</f>
        <v>0</v>
      </c>
      <c r="J41" s="611">
        <f>J24+J25+J26+J27+J28+J29+J34+J36-J37+J38+J39+J40+J35+J30+J31+J32+J33</f>
        <v>0</v>
      </c>
      <c r="L41" s="884" t="s">
        <v>393</v>
      </c>
      <c r="M41" s="885"/>
      <c r="N41" s="885"/>
      <c r="O41" s="886"/>
      <c r="P41" s="637"/>
      <c r="Q41" s="1768">
        <f>'3. E1 KUSTANNUKSET'!D41/'7. T2 TULOSSUUN.'!G33</f>
        <v>0</v>
      </c>
      <c r="R41" s="1768">
        <f>'3. E1 KUSTANNUKSET'!F41/'7. T2 TULOSSUUN.'!I33</f>
        <v>0</v>
      </c>
      <c r="S41" s="747">
        <f>'3. E1 KUSTANNUKSET'!H41/'7. T2 TULOSSUUN.'!K33</f>
        <v>0</v>
      </c>
      <c r="T41" s="611">
        <f>'3. E1 KUSTANNUKSET'!J41/'7. T2 TULOSSUUN.'!M33</f>
        <v>0</v>
      </c>
      <c r="Y41">
        <v>0</v>
      </c>
    </row>
    <row r="42" spans="2:25" ht="13.5" customHeight="1" thickBot="1" x14ac:dyDescent="0.3">
      <c r="B42" s="167" t="s">
        <v>394</v>
      </c>
      <c r="C42" s="444" t="s">
        <v>395</v>
      </c>
      <c r="D42" s="444"/>
      <c r="E42" s="456"/>
      <c r="F42" s="633"/>
      <c r="G42" s="863">
        <f>G21-G41</f>
        <v>0</v>
      </c>
      <c r="H42" s="863">
        <f>H21-H41</f>
        <v>0</v>
      </c>
      <c r="I42" s="863">
        <f>I21-I41</f>
        <v>0</v>
      </c>
      <c r="J42" s="864">
        <f>J21-J41</f>
        <v>0</v>
      </c>
      <c r="L42" s="491" t="s">
        <v>396</v>
      </c>
      <c r="M42" s="317"/>
      <c r="N42" s="317"/>
      <c r="O42" s="451"/>
      <c r="P42" s="1350"/>
      <c r="Q42" s="1350">
        <f>'5. T4 RAHOITUSSUUN.'!G11</f>
        <v>2024</v>
      </c>
      <c r="R42" s="1350">
        <f>'5. T4 RAHOITUSSUUN.'!H11</f>
        <v>2025</v>
      </c>
      <c r="S42" s="1351">
        <f>'5. T4 RAHOITUSSUUN.'!I11</f>
        <v>2026</v>
      </c>
      <c r="T42" s="1352">
        <f>'5. T4 RAHOITUSSUUN.'!J11</f>
        <v>2027</v>
      </c>
    </row>
    <row r="43" spans="2:25" ht="13.5" customHeight="1" thickBot="1" x14ac:dyDescent="0.3">
      <c r="B43" s="547" t="s">
        <v>397</v>
      </c>
      <c r="C43" s="483" t="s">
        <v>398</v>
      </c>
      <c r="D43" s="483"/>
      <c r="E43" s="484">
        <v>0</v>
      </c>
      <c r="F43" s="485"/>
      <c r="G43" s="1082">
        <f>G42+F43</f>
        <v>0</v>
      </c>
      <c r="H43" s="1082">
        <f>H42+G43</f>
        <v>0</v>
      </c>
      <c r="I43" s="1082">
        <f>I42+H43</f>
        <v>0</v>
      </c>
      <c r="J43" s="947">
        <f>J42+I43</f>
        <v>0</v>
      </c>
      <c r="L43" s="1775" t="s">
        <v>399</v>
      </c>
      <c r="M43" s="259"/>
      <c r="N43" s="259"/>
      <c r="O43" s="316"/>
      <c r="P43" s="637"/>
      <c r="Q43" s="1768">
        <f>'6. T3 TASE'!G98</f>
        <v>0</v>
      </c>
      <c r="R43" s="1768">
        <f>'6. T3 TASE'!H98</f>
        <v>0</v>
      </c>
      <c r="S43" s="747">
        <f>'6. T3 TASE'!I98</f>
        <v>0</v>
      </c>
      <c r="T43" s="611">
        <f>'6. T3 TASE'!J98</f>
        <v>0</v>
      </c>
    </row>
    <row r="44" spans="2:25" ht="13.5" customHeight="1" thickBot="1" x14ac:dyDescent="0.3">
      <c r="B44" s="207"/>
      <c r="C44" s="41"/>
      <c r="D44" s="41"/>
      <c r="E44" s="41"/>
      <c r="F44" s="233"/>
      <c r="G44" s="748"/>
      <c r="H44" s="748"/>
      <c r="I44" s="748"/>
      <c r="J44" s="748"/>
      <c r="K44" s="2"/>
      <c r="L44" s="1778" t="s">
        <v>400</v>
      </c>
      <c r="M44" s="261"/>
      <c r="N44" s="261"/>
      <c r="O44" s="315"/>
      <c r="P44" s="637"/>
      <c r="Q44" s="1768">
        <f>-('6. T3 TASE'!G67+'6. T3 TASE'!G74)</f>
        <v>0</v>
      </c>
      <c r="R44" s="1768">
        <f>-('6. T3 TASE'!H67+'6. T3 TASE'!H74)</f>
        <v>0</v>
      </c>
      <c r="S44" s="747">
        <f>-('6. T3 TASE'!I67+'6. T3 TASE'!I74)</f>
        <v>0</v>
      </c>
      <c r="T44" s="611">
        <f>-('6. T3 TASE'!J67+'6. T3 TASE'!J74)</f>
        <v>0</v>
      </c>
    </row>
    <row r="45" spans="2:25" ht="13.5" customHeight="1" x14ac:dyDescent="0.25">
      <c r="B45" s="2065" t="s">
        <v>401</v>
      </c>
      <c r="C45" s="2066"/>
      <c r="D45" s="2066"/>
      <c r="E45" s="1345"/>
      <c r="F45" s="1346"/>
      <c r="G45" s="1347" t="str">
        <f t="shared" ref="G45:J46" si="1">G10</f>
        <v>Ennuste 1</v>
      </c>
      <c r="H45" s="1347" t="str">
        <f t="shared" si="1"/>
        <v>Ennuste 2</v>
      </c>
      <c r="I45" s="1347" t="str">
        <f t="shared" si="1"/>
        <v>Ennuste 3</v>
      </c>
      <c r="J45" s="1348" t="str">
        <f t="shared" si="1"/>
        <v>Ennuste 4</v>
      </c>
      <c r="L45" s="1778" t="s">
        <v>402</v>
      </c>
      <c r="M45" s="1779"/>
      <c r="N45" s="1779"/>
      <c r="O45" s="1780"/>
      <c r="P45" s="638"/>
      <c r="Q45" s="609">
        <v>0</v>
      </c>
      <c r="R45" s="609">
        <v>0</v>
      </c>
      <c r="S45" s="1094">
        <v>0</v>
      </c>
      <c r="T45" s="857">
        <v>0</v>
      </c>
    </row>
    <row r="46" spans="2:25" ht="13.5" customHeight="1" thickBot="1" x14ac:dyDescent="0.3">
      <c r="B46" s="2067"/>
      <c r="C46" s="2068"/>
      <c r="D46" s="2068"/>
      <c r="E46" s="1349"/>
      <c r="F46" s="1333"/>
      <c r="G46" s="1344">
        <f t="shared" si="1"/>
        <v>2024</v>
      </c>
      <c r="H46" s="1344">
        <f t="shared" si="1"/>
        <v>2025</v>
      </c>
      <c r="I46" s="1344">
        <f t="shared" si="1"/>
        <v>2026</v>
      </c>
      <c r="J46" s="1324">
        <f t="shared" si="1"/>
        <v>2027</v>
      </c>
      <c r="L46" s="1778" t="s">
        <v>403</v>
      </c>
      <c r="M46" s="1779"/>
      <c r="N46" s="1779"/>
      <c r="O46" s="1780"/>
      <c r="P46" s="638"/>
      <c r="Q46" s="609">
        <v>0</v>
      </c>
      <c r="R46" s="609">
        <v>0</v>
      </c>
      <c r="S46" s="1094">
        <v>0</v>
      </c>
      <c r="T46" s="857">
        <v>0</v>
      </c>
    </row>
    <row r="47" spans="2:25" ht="13.5" customHeight="1" x14ac:dyDescent="0.25">
      <c r="B47" s="167" t="s">
        <v>404</v>
      </c>
      <c r="C47" s="136" t="s">
        <v>405</v>
      </c>
      <c r="D47" s="439"/>
      <c r="E47" s="441" t="s">
        <v>345</v>
      </c>
      <c r="F47" s="634"/>
      <c r="G47" s="856">
        <f>IF('7. T2 TULOSSUUN.'!H14=0,0,G48*'7. T2 TULOSSUUN.'!G11)</f>
        <v>0</v>
      </c>
      <c r="H47" s="856">
        <f>IF('7. T2 TULOSSUUN.'!I14=0,0,H48*'7. T2 TULOSSUUN.'!I11)</f>
        <v>0</v>
      </c>
      <c r="I47" s="856">
        <f>IF('7. T2 TULOSSUUN.'!J14=0,0,I48*'7. T2 TULOSSUUN.'!K11)</f>
        <v>0</v>
      </c>
      <c r="J47" s="1209">
        <f>IF('7. T2 TULOSSUUN.'!K14=0,0,J48*'7. T2 TULOSSUUN.'!M11)</f>
        <v>0</v>
      </c>
      <c r="L47" s="492" t="s">
        <v>406</v>
      </c>
      <c r="M47" s="317"/>
      <c r="N47" s="317"/>
      <c r="O47" s="318"/>
      <c r="P47" s="639"/>
      <c r="Q47" s="856">
        <f>Q43+Q44-Q45-Q46</f>
        <v>0</v>
      </c>
      <c r="R47" s="856">
        <f>R43+R44-R45-R46</f>
        <v>0</v>
      </c>
      <c r="S47" s="1214">
        <f>S43+S44-S45-S46</f>
        <v>0</v>
      </c>
      <c r="T47" s="611">
        <f>T43+T44-T45-T46</f>
        <v>0</v>
      </c>
    </row>
    <row r="48" spans="2:25" ht="13.5" customHeight="1" x14ac:dyDescent="0.25">
      <c r="B48" s="167"/>
      <c r="C48" s="2044" t="s">
        <v>407</v>
      </c>
      <c r="D48" s="2045"/>
      <c r="E48" s="829"/>
      <c r="F48" s="830"/>
      <c r="G48" s="1651">
        <v>0</v>
      </c>
      <c r="H48" s="1651">
        <f>G48</f>
        <v>0</v>
      </c>
      <c r="I48" s="1651">
        <f>H48</f>
        <v>0</v>
      </c>
      <c r="J48" s="1652">
        <f>I48</f>
        <v>0</v>
      </c>
      <c r="L48" s="908" t="s">
        <v>408</v>
      </c>
      <c r="M48" s="909"/>
      <c r="N48" s="909"/>
      <c r="O48" s="910"/>
      <c r="P48" s="911"/>
      <c r="Q48" s="609">
        <v>0</v>
      </c>
      <c r="R48" s="609">
        <f>IF(Q47&lt;0,0,8%*Q47)</f>
        <v>0</v>
      </c>
      <c r="S48" s="609">
        <f>IF(R47&lt;0,0,8%*R47)</f>
        <v>0</v>
      </c>
      <c r="T48" s="1119">
        <f>IF(S47&lt;0,0,8%*S47)</f>
        <v>0</v>
      </c>
    </row>
    <row r="49" spans="2:23" ht="13.5" customHeight="1" x14ac:dyDescent="0.25">
      <c r="B49" s="167" t="s">
        <v>409</v>
      </c>
      <c r="C49" s="445" t="s">
        <v>410</v>
      </c>
      <c r="D49" s="446"/>
      <c r="E49" s="443" t="s">
        <v>345</v>
      </c>
      <c r="F49" s="629"/>
      <c r="G49" s="1768">
        <f>G50*('4. E2 LIIKEVAIHTO'!E64+'4. E2 LIIKEVAIHTO'!E67)/365</f>
        <v>0</v>
      </c>
      <c r="H49" s="1768">
        <f>H50*('4. E2 LIIKEVAIHTO'!F64+'4. E2 LIIKEVAIHTO'!F67)/365</f>
        <v>0</v>
      </c>
      <c r="I49" s="1768">
        <f>I50*('4. E2 LIIKEVAIHTO'!G64+'4. E2 LIIKEVAIHTO'!G67)/365</f>
        <v>0</v>
      </c>
      <c r="J49" s="611">
        <f>J50*('4. E2 LIIKEVAIHTO'!H64+'4. E2 LIIKEVAIHTO'!H67)/365</f>
        <v>0</v>
      </c>
      <c r="L49" s="2040" t="s">
        <v>411</v>
      </c>
      <c r="M49" s="2041"/>
      <c r="N49" s="2041"/>
      <c r="O49" s="2041"/>
      <c r="P49" s="2042"/>
      <c r="Q49" s="1087">
        <f>IF(P47=0,0,Q48/P47)</f>
        <v>0</v>
      </c>
      <c r="R49" s="869">
        <f>IF(R48=0,0,R48/Q47)</f>
        <v>0</v>
      </c>
      <c r="S49" s="869">
        <f>IF(S48=0,0,S48/R47)</f>
        <v>0</v>
      </c>
      <c r="T49" s="870">
        <f>IF(T48=0,0,T48/S47)</f>
        <v>0</v>
      </c>
    </row>
    <row r="50" spans="2:23" ht="13.5" customHeight="1" x14ac:dyDescent="0.25">
      <c r="B50" s="167"/>
      <c r="C50" s="2037" t="s">
        <v>412</v>
      </c>
      <c r="D50" s="2038"/>
      <c r="E50" s="831"/>
      <c r="F50" s="832"/>
      <c r="G50" s="1653">
        <v>14</v>
      </c>
      <c r="H50" s="1653">
        <f>G50</f>
        <v>14</v>
      </c>
      <c r="I50" s="1653">
        <f>H50</f>
        <v>14</v>
      </c>
      <c r="J50" s="1654">
        <f>I50</f>
        <v>14</v>
      </c>
      <c r="L50" s="332"/>
      <c r="M50" s="262"/>
      <c r="N50" s="262"/>
      <c r="O50" s="262"/>
      <c r="P50" s="262"/>
      <c r="Q50" s="262"/>
      <c r="R50" s="262"/>
      <c r="S50" s="262"/>
      <c r="T50" s="304"/>
    </row>
    <row r="51" spans="2:23" ht="13.5" customHeight="1" x14ac:dyDescent="0.25">
      <c r="B51" s="167" t="s">
        <v>413</v>
      </c>
      <c r="C51" s="445" t="s">
        <v>414</v>
      </c>
      <c r="D51" s="446"/>
      <c r="E51" s="443" t="s">
        <v>345</v>
      </c>
      <c r="F51" s="629"/>
      <c r="G51" s="1655">
        <v>0</v>
      </c>
      <c r="H51" s="1655">
        <v>0</v>
      </c>
      <c r="I51" s="1655">
        <v>0</v>
      </c>
      <c r="J51" s="1656">
        <v>0</v>
      </c>
      <c r="L51" s="332"/>
      <c r="M51" s="262"/>
      <c r="N51" s="262"/>
      <c r="O51" s="262"/>
      <c r="P51" s="262"/>
      <c r="Q51" s="262"/>
      <c r="R51" s="262"/>
      <c r="S51" s="262"/>
      <c r="T51" s="304"/>
    </row>
    <row r="52" spans="2:23" ht="13.5" customHeight="1" x14ac:dyDescent="0.25">
      <c r="B52" s="167" t="s">
        <v>415</v>
      </c>
      <c r="C52" s="2043" t="s">
        <v>416</v>
      </c>
      <c r="D52" s="2043"/>
      <c r="E52" s="443" t="s">
        <v>345</v>
      </c>
      <c r="F52" s="629"/>
      <c r="G52" s="1655">
        <f>30%*('3. E1 KUSTANNUKSET'!D73+'3. E1 KUSTANNUKSET'!D80+'3. E1 KUSTANNUKSET'!D112+'3. E1 KUSTANNUKSET'!D113+'3. E1 KUSTANNUKSET'!D119)</f>
        <v>0</v>
      </c>
      <c r="H52" s="1655">
        <f>30%*('3. E1 KUSTANNUKSET'!F73+'3. E1 KUSTANNUKSET'!F80+'3. E1 KUSTANNUKSET'!F112+'3. E1 KUSTANNUKSET'!F113+'3. E1 KUSTANNUKSET'!F119)</f>
        <v>0</v>
      </c>
      <c r="I52" s="1655">
        <f>30%*('3. E1 KUSTANNUKSET'!H73+'3. E1 KUSTANNUKSET'!H80+'3. E1 KUSTANNUKSET'!H112+'3. E1 KUSTANNUKSET'!H113+'3. E1 KUSTANNUKSET'!H119)</f>
        <v>0</v>
      </c>
      <c r="J52" s="1656">
        <f>30%*('3. E1 KUSTANNUKSET'!J73+'3. E1 KUSTANNUKSET'!J80+'3. E1 KUSTANNUKSET'!J112+'3. E1 KUSTANNUKSET'!J113+'3. E1 KUSTANNUKSET'!J119)</f>
        <v>0</v>
      </c>
      <c r="L52" s="541"/>
      <c r="M52" s="262"/>
      <c r="N52" s="262"/>
      <c r="O52" s="262"/>
      <c r="P52" s="262"/>
      <c r="Q52" s="262"/>
      <c r="R52" s="262"/>
      <c r="S52" s="262"/>
      <c r="T52" s="542"/>
    </row>
    <row r="53" spans="2:23" ht="13.5" customHeight="1" x14ac:dyDescent="0.25">
      <c r="B53" s="167" t="s">
        <v>417</v>
      </c>
      <c r="C53" s="2043" t="s">
        <v>418</v>
      </c>
      <c r="D53" s="2043"/>
      <c r="E53" s="443" t="s">
        <v>345</v>
      </c>
      <c r="F53" s="629"/>
      <c r="G53" s="1768">
        <f>G54*'7. T2 TULOSSUUN.'!G11</f>
        <v>0</v>
      </c>
      <c r="H53" s="1768">
        <f>H54*'7. T2 TULOSSUUN.'!I11</f>
        <v>0</v>
      </c>
      <c r="I53" s="1768">
        <f>I54*'7. T2 TULOSSUUN.'!K11</f>
        <v>0</v>
      </c>
      <c r="J53" s="611">
        <f>J54*'7. T2 TULOSSUUN.'!M11</f>
        <v>0</v>
      </c>
      <c r="L53" s="541"/>
      <c r="M53" s="262"/>
      <c r="N53" s="262"/>
      <c r="O53" s="262"/>
      <c r="P53" s="262"/>
      <c r="Q53" s="262"/>
      <c r="R53" s="262"/>
      <c r="S53" s="262"/>
      <c r="T53" s="542"/>
    </row>
    <row r="54" spans="2:23" ht="13.5" customHeight="1" x14ac:dyDescent="0.25">
      <c r="B54" s="167"/>
      <c r="C54" s="2037" t="s">
        <v>419</v>
      </c>
      <c r="D54" s="2038"/>
      <c r="E54" s="831"/>
      <c r="F54" s="833"/>
      <c r="G54" s="858">
        <v>0</v>
      </c>
      <c r="H54" s="859">
        <f>G54</f>
        <v>0</v>
      </c>
      <c r="I54" s="859">
        <f>H54</f>
        <v>0</v>
      </c>
      <c r="J54" s="860">
        <f>I54</f>
        <v>0</v>
      </c>
      <c r="L54" s="541"/>
      <c r="M54" s="262"/>
      <c r="N54" s="262"/>
      <c r="O54" s="262"/>
      <c r="P54" s="262"/>
      <c r="Q54" s="262"/>
      <c r="R54" s="262"/>
      <c r="S54" s="262"/>
      <c r="T54" s="542"/>
    </row>
    <row r="55" spans="2:23" ht="13.5" customHeight="1" x14ac:dyDescent="0.25">
      <c r="B55" s="167" t="s">
        <v>420</v>
      </c>
      <c r="C55" s="447" t="s">
        <v>421</v>
      </c>
      <c r="D55" s="448"/>
      <c r="E55" s="443" t="s">
        <v>422</v>
      </c>
      <c r="F55" s="629"/>
      <c r="G55" s="1768">
        <f>IF('7. T2 TULOSSUUN.'!G11=0,0,G56*('4. E2 LIIKEVAIHTO'!E65+'AT2 Lainat, alv'!E56+'AT2 Lainat, alv'!E58)/365)</f>
        <v>0</v>
      </c>
      <c r="H55" s="1768">
        <f>IF('7. T2 TULOSSUUN.'!I11=0,0,H56*('4. E2 LIIKEVAIHTO'!F65+'AT2 Lainat, alv'!G56+'AT2 Lainat, alv'!G58)/365)</f>
        <v>0</v>
      </c>
      <c r="I55" s="1768">
        <f>IF('7. T2 TULOSSUUN.'!K11=0,0,I56*('4. E2 LIIKEVAIHTO'!G65+'AT2 Lainat, alv'!I56+'AT2 Lainat, alv'!I58)/365)</f>
        <v>0</v>
      </c>
      <c r="J55" s="611">
        <f>IF('7. T2 TULOSSUUN.'!M11=0,0,J56*('4. E2 LIIKEVAIHTO'!H65+'AT2 Lainat, alv'!K56+'AT2 Lainat, alv'!K58)/365)</f>
        <v>0</v>
      </c>
      <c r="L55" s="541"/>
      <c r="M55" s="262"/>
      <c r="N55" s="262"/>
      <c r="O55" s="262"/>
      <c r="P55" s="262"/>
      <c r="Q55" s="262"/>
      <c r="R55" s="262"/>
      <c r="S55" s="262"/>
      <c r="T55" s="542"/>
    </row>
    <row r="56" spans="2:23" ht="13.5" customHeight="1" x14ac:dyDescent="0.25">
      <c r="B56" s="167"/>
      <c r="C56" s="2037" t="s">
        <v>423</v>
      </c>
      <c r="D56" s="2038"/>
      <c r="E56" s="831"/>
      <c r="F56" s="832"/>
      <c r="G56" s="1653">
        <v>14</v>
      </c>
      <c r="H56" s="1653">
        <f>G56</f>
        <v>14</v>
      </c>
      <c r="I56" s="1653">
        <f>H56</f>
        <v>14</v>
      </c>
      <c r="J56" s="1654">
        <f>I56</f>
        <v>14</v>
      </c>
      <c r="L56" s="541"/>
      <c r="M56" s="262"/>
      <c r="N56" s="262"/>
      <c r="O56" s="262"/>
      <c r="P56" s="262"/>
      <c r="Q56" s="262"/>
      <c r="R56" s="262"/>
      <c r="S56" s="262"/>
      <c r="T56" s="542"/>
    </row>
    <row r="57" spans="2:23" ht="13.5" customHeight="1" x14ac:dyDescent="0.25">
      <c r="B57" s="167" t="s">
        <v>424</v>
      </c>
      <c r="C57" s="447" t="s">
        <v>425</v>
      </c>
      <c r="D57" s="448"/>
      <c r="E57" s="443" t="s">
        <v>422</v>
      </c>
      <c r="F57" s="629"/>
      <c r="G57" s="1768">
        <f>G58*'4. E2 LIIKEVAIHTO'!E64</f>
        <v>0</v>
      </c>
      <c r="H57" s="1768">
        <f>'4. E2 LIIKEVAIHTO'!F64*H58</f>
        <v>0</v>
      </c>
      <c r="I57" s="1768">
        <f>'4. E2 LIIKEVAIHTO'!G64*I58</f>
        <v>0</v>
      </c>
      <c r="J57" s="611">
        <f>'4. E2 LIIKEVAIHTO'!H64*J58</f>
        <v>0</v>
      </c>
      <c r="L57" s="541"/>
      <c r="M57" s="262"/>
      <c r="N57" s="262"/>
      <c r="O57" s="262"/>
      <c r="P57" s="262"/>
      <c r="Q57" s="262"/>
      <c r="R57" s="262"/>
      <c r="S57" s="262"/>
      <c r="T57" s="542"/>
    </row>
    <row r="58" spans="2:23" ht="13.5" customHeight="1" x14ac:dyDescent="0.25">
      <c r="B58" s="167"/>
      <c r="C58" s="2037" t="s">
        <v>426</v>
      </c>
      <c r="D58" s="2038"/>
      <c r="E58" s="831"/>
      <c r="F58" s="834"/>
      <c r="G58" s="861">
        <v>0</v>
      </c>
      <c r="H58" s="861">
        <f>G58</f>
        <v>0</v>
      </c>
      <c r="I58" s="861">
        <f>H58</f>
        <v>0</v>
      </c>
      <c r="J58" s="860">
        <f>I58</f>
        <v>0</v>
      </c>
      <c r="L58" s="541"/>
      <c r="M58" s="262"/>
      <c r="N58" s="262"/>
      <c r="O58" s="262"/>
      <c r="P58" s="262"/>
      <c r="Q58" s="262"/>
      <c r="R58" s="262"/>
      <c r="S58" s="262"/>
      <c r="T58" s="542"/>
    </row>
    <row r="59" spans="2:23" ht="13.5" customHeight="1" x14ac:dyDescent="0.25">
      <c r="B59" s="167" t="s">
        <v>427</v>
      </c>
      <c r="C59" s="447" t="s">
        <v>428</v>
      </c>
      <c r="D59" s="449"/>
      <c r="E59" s="443" t="s">
        <v>429</v>
      </c>
      <c r="F59" s="629"/>
      <c r="G59" s="1768">
        <f>G47+G49+G53-G55-G57+G51+G52</f>
        <v>0</v>
      </c>
      <c r="H59" s="1768">
        <f>H47+H49+H53-H55-H57+H51+H52</f>
        <v>0</v>
      </c>
      <c r="I59" s="1768">
        <f>I47+I49+I53-I55-I57+I51+I52</f>
        <v>0</v>
      </c>
      <c r="J59" s="611">
        <f>J47+J49+J53-J55-J57+J51+J52</f>
        <v>0</v>
      </c>
      <c r="L59" s="541"/>
      <c r="M59" s="262"/>
      <c r="N59" s="262"/>
      <c r="O59" s="262"/>
      <c r="P59" s="262"/>
      <c r="Q59" s="262"/>
      <c r="R59" s="262"/>
      <c r="S59" s="262"/>
      <c r="T59" s="542"/>
    </row>
    <row r="60" spans="2:23" ht="13.5" customHeight="1" thickBot="1" x14ac:dyDescent="0.3">
      <c r="B60" s="291" t="s">
        <v>430</v>
      </c>
      <c r="C60" s="314" t="s">
        <v>431</v>
      </c>
      <c r="D60" s="440"/>
      <c r="E60" s="442" t="s">
        <v>370</v>
      </c>
      <c r="F60" s="635"/>
      <c r="G60" s="862"/>
      <c r="H60" s="863">
        <f>H59-G59</f>
        <v>0</v>
      </c>
      <c r="I60" s="863">
        <f>I59-H59</f>
        <v>0</v>
      </c>
      <c r="J60" s="864">
        <f>J59-I59</f>
        <v>0</v>
      </c>
      <c r="L60" s="543"/>
      <c r="M60" s="544"/>
      <c r="N60" s="544"/>
      <c r="O60" s="544"/>
      <c r="P60" s="544"/>
      <c r="Q60" s="544"/>
      <c r="R60" s="544"/>
      <c r="S60" s="544"/>
      <c r="T60" s="545"/>
    </row>
    <row r="61" spans="2:23" ht="3" customHeight="1" x14ac:dyDescent="0.25">
      <c r="J61" s="113"/>
    </row>
    <row r="62" spans="2:23" ht="10.199999999999999" customHeight="1" x14ac:dyDescent="0.25">
      <c r="B62" s="220">
        <f>'1. T1 INVESTOINTISUUN.'!B64</f>
        <v>0</v>
      </c>
      <c r="J62" s="221" t="str">
        <f>OHJE!F6</f>
        <v>Palvelun tarjoavat</v>
      </c>
    </row>
    <row r="63" spans="2:23" ht="13.35" customHeight="1" x14ac:dyDescent="0.25">
      <c r="B63" s="220" t="str">
        <f>'1. T1 INVESTOINTISUUN.'!B65</f>
        <v>Yritystulkki YT6 Aloittavan yrityksen tulossuunnitelma</v>
      </c>
      <c r="E63" s="1769"/>
      <c r="F63" s="2039" t="str">
        <f>'1. T1 INVESTOINTISUUN.'!I65</f>
        <v>Iisalmi, Lapinlahti, Sonkajärvi, Vieremä</v>
      </c>
      <c r="G63" s="2039"/>
      <c r="H63" s="2039"/>
      <c r="I63" s="2039"/>
      <c r="J63" s="2039"/>
      <c r="L63" s="4"/>
      <c r="M63" s="4"/>
      <c r="N63" s="4"/>
      <c r="O63" s="4"/>
      <c r="P63" s="4"/>
      <c r="Q63" s="1222"/>
      <c r="R63" s="4"/>
      <c r="S63" s="4"/>
      <c r="T63" s="4"/>
      <c r="U63" s="4"/>
      <c r="V63" s="4"/>
      <c r="W63" s="4"/>
    </row>
    <row r="64" spans="2:23" x14ac:dyDescent="0.25">
      <c r="B64" s="1902"/>
      <c r="C64" s="1902"/>
      <c r="G64" s="1769"/>
      <c r="H64" s="1769"/>
      <c r="I64" s="1769"/>
      <c r="J64" s="1769"/>
      <c r="L64" s="1223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2:23" x14ac:dyDescent="0.25">
      <c r="B65" s="345" t="s">
        <v>87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2:23" x14ac:dyDescent="0.25">
      <c r="B66" s="40" t="s">
        <v>88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2:23" x14ac:dyDescent="0.25">
      <c r="B67" s="40" t="s">
        <v>89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2:23" x14ac:dyDescent="0.25">
      <c r="C68" s="535" t="s">
        <v>3</v>
      </c>
      <c r="D68" s="535"/>
      <c r="V68" s="4"/>
      <c r="W68" s="4"/>
    </row>
    <row r="69" spans="2:23" x14ac:dyDescent="0.25">
      <c r="V69" s="4"/>
      <c r="W69" s="4"/>
    </row>
    <row r="70" spans="2:23" x14ac:dyDescent="0.25">
      <c r="V70" s="4"/>
      <c r="W70" s="4"/>
    </row>
    <row r="71" spans="2:23" x14ac:dyDescent="0.25">
      <c r="V71" s="4"/>
      <c r="W71" s="4"/>
    </row>
    <row r="72" spans="2:23" x14ac:dyDescent="0.25">
      <c r="V72" s="4"/>
      <c r="W72" s="4"/>
    </row>
    <row r="73" spans="2:23" x14ac:dyDescent="0.25">
      <c r="V73" s="4"/>
      <c r="W73" s="4"/>
    </row>
    <row r="74" spans="2:23" x14ac:dyDescent="0.25">
      <c r="V74" s="4"/>
      <c r="W74" s="4"/>
    </row>
    <row r="75" spans="2:23" x14ac:dyDescent="0.25">
      <c r="V75" s="4"/>
      <c r="W75" s="4"/>
    </row>
    <row r="76" spans="2:23" x14ac:dyDescent="0.25">
      <c r="V76" s="4"/>
      <c r="W76" s="4"/>
    </row>
    <row r="77" spans="2:23" x14ac:dyDescent="0.25">
      <c r="V77" s="4"/>
      <c r="W77" s="4"/>
    </row>
    <row r="78" spans="2:23" x14ac:dyDescent="0.25">
      <c r="V78" s="4"/>
      <c r="W78" s="4"/>
    </row>
    <row r="79" spans="2:23" x14ac:dyDescent="0.25">
      <c r="V79" s="4"/>
      <c r="W79" s="4"/>
    </row>
    <row r="80" spans="2:23" x14ac:dyDescent="0.25">
      <c r="V80" s="4"/>
      <c r="W80" s="4"/>
    </row>
    <row r="81" spans="12:23" x14ac:dyDescent="0.25">
      <c r="V81" s="4"/>
      <c r="W81" s="4"/>
    </row>
    <row r="82" spans="12:23" x14ac:dyDescent="0.25">
      <c r="V82" s="4"/>
      <c r="W82" s="4"/>
    </row>
    <row r="83" spans="12:23" x14ac:dyDescent="0.25">
      <c r="V83" s="4"/>
      <c r="W83" s="4"/>
    </row>
    <row r="84" spans="12:23" x14ac:dyDescent="0.25"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2:23" x14ac:dyDescent="0.25"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2:23" x14ac:dyDescent="0.25"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2:23" x14ac:dyDescent="0.25"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2:23" x14ac:dyDescent="0.25"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2:23" x14ac:dyDescent="0.25"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8" spans="12:21" ht="16.95" customHeight="1" x14ac:dyDescent="0.25"/>
    <row r="99" spans="12:21" ht="12.6" customHeight="1" x14ac:dyDescent="0.25"/>
    <row r="100" spans="12:21" hidden="1" x14ac:dyDescent="0.25">
      <c r="L100" s="459" t="s">
        <v>432</v>
      </c>
      <c r="M100" s="115"/>
      <c r="N100" s="115"/>
      <c r="O100" s="115"/>
      <c r="P100" s="115"/>
      <c r="Q100" s="115" t="s">
        <v>19</v>
      </c>
      <c r="R100" s="115" t="s">
        <v>20</v>
      </c>
      <c r="S100" s="115" t="s">
        <v>21</v>
      </c>
      <c r="T100" s="115" t="s">
        <v>22</v>
      </c>
      <c r="U100" s="4"/>
    </row>
    <row r="101" spans="12:21" hidden="1" x14ac:dyDescent="0.25">
      <c r="L101" s="1228" t="s">
        <v>433</v>
      </c>
      <c r="M101" s="1228"/>
      <c r="N101" s="1228"/>
      <c r="O101" s="1228"/>
      <c r="P101" s="1228"/>
      <c r="Q101" s="1228"/>
      <c r="R101" s="1228"/>
      <c r="S101" s="1228"/>
      <c r="T101" s="1228"/>
      <c r="U101" s="4"/>
    </row>
    <row r="102" spans="12:21" hidden="1" x14ac:dyDescent="0.25">
      <c r="L102" s="1228" t="s">
        <v>434</v>
      </c>
      <c r="M102" s="1228"/>
      <c r="N102" s="1228"/>
      <c r="O102" s="1228"/>
      <c r="P102" s="1228"/>
      <c r="Q102" s="1229">
        <f>Q20+'7. T2 TULOSSUUN.'!G24-'7. T2 TULOSSUUN.'!G25+'7. T2 TULOSSUUN.'!G27</f>
        <v>0</v>
      </c>
      <c r="R102" s="1229">
        <f>R20+'7. T2 TULOSSUUN.'!I24-'7. T2 TULOSSUUN.'!I25+'7. T2 TULOSSUUN.'!I27</f>
        <v>0</v>
      </c>
      <c r="S102" s="1229">
        <f>S20+'7. T2 TULOSSUUN.'!K24-'7. T2 TULOSSUUN.'!K25+'7. T2 TULOSSUUN.'!K27</f>
        <v>0</v>
      </c>
      <c r="T102" s="1229">
        <f>T20+'7. T2 TULOSSUUN.'!M24-'7. T2 TULOSSUUN.'!M25+'7. T2 TULOSSUUN.'!M27</f>
        <v>0</v>
      </c>
      <c r="U102" s="4"/>
    </row>
    <row r="103" spans="12:21" hidden="1" x14ac:dyDescent="0.25">
      <c r="L103" s="1228" t="s">
        <v>435</v>
      </c>
      <c r="M103" s="1228"/>
      <c r="N103" s="1228"/>
      <c r="O103" s="1228"/>
      <c r="P103" s="1228"/>
      <c r="Q103" s="1228"/>
      <c r="R103" s="1229">
        <f>Q104</f>
        <v>0</v>
      </c>
      <c r="S103" s="1229">
        <f>R104</f>
        <v>0</v>
      </c>
      <c r="T103" s="1229">
        <f>S104</f>
        <v>0</v>
      </c>
      <c r="U103" s="4"/>
    </row>
    <row r="104" spans="12:21" hidden="1" x14ac:dyDescent="0.25">
      <c r="L104" s="1228" t="s">
        <v>436</v>
      </c>
      <c r="M104" s="1228"/>
      <c r="N104" s="1228"/>
      <c r="O104" s="1228"/>
      <c r="P104" s="1228"/>
      <c r="Q104" s="1229">
        <f>'6. T3 TASE'!G56</f>
        <v>0</v>
      </c>
      <c r="R104" s="1229">
        <f>'6. T3 TASE'!H56</f>
        <v>0</v>
      </c>
      <c r="S104" s="1229">
        <f>'6. T3 TASE'!I56</f>
        <v>0</v>
      </c>
      <c r="T104" s="1229">
        <f>'6. T3 TASE'!J56</f>
        <v>0</v>
      </c>
      <c r="U104" s="4"/>
    </row>
    <row r="105" spans="12:21" hidden="1" x14ac:dyDescent="0.25">
      <c r="L105" s="1228" t="s">
        <v>437</v>
      </c>
      <c r="M105" s="1228"/>
      <c r="N105" s="1228"/>
      <c r="O105" s="1228"/>
      <c r="P105" s="1228"/>
      <c r="Q105" s="1228">
        <f>(Q103+Q104)/2</f>
        <v>0</v>
      </c>
      <c r="R105" s="1228">
        <f>(R103+R104)/2</f>
        <v>0</v>
      </c>
      <c r="S105" s="1228">
        <f>(S103+S104)/2</f>
        <v>0</v>
      </c>
      <c r="T105" s="1228">
        <f>(T103+T104)/2</f>
        <v>0</v>
      </c>
      <c r="U105" s="4"/>
    </row>
    <row r="106" spans="12:21" hidden="1" x14ac:dyDescent="0.25">
      <c r="L106" s="115"/>
      <c r="M106" s="115"/>
      <c r="N106" s="115"/>
      <c r="O106" s="115"/>
      <c r="P106" s="115"/>
      <c r="Q106" s="115"/>
      <c r="R106" s="115"/>
      <c r="S106" s="115"/>
      <c r="T106" s="115"/>
      <c r="U106" s="4"/>
    </row>
    <row r="107" spans="12:21" hidden="1" x14ac:dyDescent="0.25">
      <c r="L107" s="1228" t="s">
        <v>438</v>
      </c>
      <c r="M107" s="1228"/>
      <c r="N107" s="1228"/>
      <c r="O107" s="1228"/>
      <c r="P107" s="1228"/>
      <c r="Q107" s="1228"/>
      <c r="R107" s="1229">
        <f>Q108</f>
        <v>0</v>
      </c>
      <c r="S107" s="1229">
        <f>R108</f>
        <v>0</v>
      </c>
      <c r="T107" s="1229">
        <f>S108</f>
        <v>0</v>
      </c>
      <c r="U107" s="4"/>
    </row>
    <row r="108" spans="12:21" hidden="1" x14ac:dyDescent="0.25">
      <c r="L108" s="1228" t="s">
        <v>439</v>
      </c>
      <c r="M108" s="1228"/>
      <c r="N108" s="1228"/>
      <c r="O108" s="1228"/>
      <c r="P108" s="1228"/>
      <c r="Q108" s="1229">
        <f>'6. T3 TASE'!G67+'6. T3 TASE'!G75+'6. T3 TASE'!G78+'6. T3 TASE'!G82</f>
        <v>0</v>
      </c>
      <c r="R108" s="1229">
        <f>'6. T3 TASE'!H67+'6. T3 TASE'!H75+'6. T3 TASE'!H78+'6. T3 TASE'!H82</f>
        <v>0</v>
      </c>
      <c r="S108" s="1229">
        <f>'6. T3 TASE'!I67+'6. T3 TASE'!I75+'6. T3 TASE'!I78+'6. T3 TASE'!I82</f>
        <v>0</v>
      </c>
      <c r="T108" s="1229">
        <f>'6. T3 TASE'!J67+'6. T3 TASE'!J75+'6. T3 TASE'!J78+'6. T3 TASE'!J82</f>
        <v>0</v>
      </c>
      <c r="U108" s="4"/>
    </row>
    <row r="109" spans="12:21" hidden="1" x14ac:dyDescent="0.25">
      <c r="L109" s="1228" t="s">
        <v>440</v>
      </c>
      <c r="M109" s="1228"/>
      <c r="N109" s="1228"/>
      <c r="O109" s="1228"/>
      <c r="P109" s="1228"/>
      <c r="Q109" s="1228">
        <f>(Q107+Q108)/2</f>
        <v>0</v>
      </c>
      <c r="R109" s="1228">
        <f>(R107+R108)/2</f>
        <v>0</v>
      </c>
      <c r="S109" s="1228">
        <f>(S107+S108)/2</f>
        <v>0</v>
      </c>
      <c r="T109" s="1228">
        <f>(T107+T108)/2</f>
        <v>0</v>
      </c>
      <c r="U109" s="4"/>
    </row>
    <row r="110" spans="12:21" hidden="1" x14ac:dyDescent="0.25">
      <c r="L110" s="1227" t="s">
        <v>441</v>
      </c>
      <c r="M110" s="1227"/>
      <c r="N110" s="1227"/>
      <c r="O110" s="1227"/>
      <c r="P110" s="1227"/>
      <c r="Q110" s="1230">
        <f>IF(Q105&lt;0,Q109,Q105+Q109)</f>
        <v>0</v>
      </c>
      <c r="R110" s="1230">
        <f>IF(R105&lt;0,R109,R105+R109)</f>
        <v>0</v>
      </c>
      <c r="S110" s="1230">
        <f>IF(S105&lt;0,S109,S105+S109)</f>
        <v>0</v>
      </c>
      <c r="T110" s="1230">
        <f>IF(T105&lt;0,T109,T105+T109)</f>
        <v>0</v>
      </c>
      <c r="U110" s="4"/>
    </row>
    <row r="111" spans="12:21" hidden="1" x14ac:dyDescent="0.25">
      <c r="U111" s="4"/>
    </row>
    <row r="112" spans="12:21" hidden="1" x14ac:dyDescent="0.25">
      <c r="L112" s="1227" t="s">
        <v>442</v>
      </c>
      <c r="M112" s="1225"/>
      <c r="N112" s="1225"/>
      <c r="O112" s="1225"/>
      <c r="P112" s="1225"/>
      <c r="Q112" s="1225"/>
      <c r="R112" s="1225"/>
      <c r="S112" s="1225"/>
      <c r="T112" s="1225"/>
      <c r="U112" s="4"/>
    </row>
    <row r="113" spans="12:21" hidden="1" x14ac:dyDescent="0.25">
      <c r="L113" s="1224" t="s">
        <v>443</v>
      </c>
      <c r="M113" s="1225"/>
      <c r="N113" s="1225"/>
      <c r="O113" s="1225"/>
      <c r="P113" s="1225"/>
      <c r="Q113" s="1225"/>
      <c r="R113" s="1225"/>
      <c r="S113" s="1225"/>
      <c r="T113" s="1225"/>
      <c r="U113" s="4"/>
    </row>
    <row r="114" spans="12:21" hidden="1" x14ac:dyDescent="0.25">
      <c r="L114" s="2036" t="s">
        <v>444</v>
      </c>
      <c r="M114" s="2036"/>
      <c r="N114" s="2036"/>
      <c r="O114" s="2036"/>
      <c r="P114" s="2036"/>
      <c r="Q114" s="1226">
        <f>'6. T3 TASE'!G67-'6. T3 TASE'!G94+'6. T3 TASE'!G75+'6. T3 TASE'!G78+'6. T3 TASE'!G82</f>
        <v>0</v>
      </c>
      <c r="R114" s="1226">
        <f>'6. T3 TASE'!H67-'6. T3 TASE'!H94+'6. T3 TASE'!H75+'6. T3 TASE'!H78+'6. T3 TASE'!H82</f>
        <v>0</v>
      </c>
      <c r="S114" s="1226">
        <f>'6. T3 TASE'!I67-'6. T3 TASE'!I94+'6. T3 TASE'!I75+'6. T3 TASE'!I78+'6. T3 TASE'!I82</f>
        <v>0</v>
      </c>
      <c r="T114" s="1226">
        <f>'6. T3 TASE'!J67-'6. T3 TASE'!J94+'6. T3 TASE'!J75+'6. T3 TASE'!J78+'6. T3 TASE'!J82</f>
        <v>0</v>
      </c>
      <c r="U114" s="4"/>
    </row>
    <row r="115" spans="12:21" hidden="1" x14ac:dyDescent="0.25">
      <c r="L115" s="115" t="s">
        <v>445</v>
      </c>
      <c r="M115" s="4"/>
      <c r="N115" s="4"/>
      <c r="O115" s="4"/>
      <c r="P115" s="4"/>
      <c r="Q115" s="26">
        <f>'6. T3 TASE'!G48+'6. T3 TASE'!G49</f>
        <v>0</v>
      </c>
      <c r="R115" s="26">
        <f>'6. T3 TASE'!H48+'6. T3 TASE'!H49</f>
        <v>0</v>
      </c>
      <c r="S115" s="26">
        <f>'6. T3 TASE'!I48+'6. T3 TASE'!I49</f>
        <v>0</v>
      </c>
      <c r="T115" s="26">
        <f>'6. T3 TASE'!J48+'6. T3 TASE'!J49</f>
        <v>0</v>
      </c>
      <c r="U115" s="4"/>
    </row>
    <row r="116" spans="12:21" x14ac:dyDescent="0.25">
      <c r="L116" s="535"/>
      <c r="M116" s="535"/>
      <c r="N116" s="535"/>
      <c r="O116" s="535"/>
      <c r="P116" s="535"/>
      <c r="Q116" s="535"/>
      <c r="R116" s="535"/>
      <c r="S116" s="535"/>
      <c r="T116" s="535"/>
    </row>
    <row r="117" spans="12:21" x14ac:dyDescent="0.25">
      <c r="L117" s="535"/>
      <c r="M117" s="535"/>
      <c r="N117" s="535"/>
      <c r="O117" s="535"/>
      <c r="P117" s="535"/>
      <c r="Q117" s="535"/>
      <c r="R117" s="535"/>
      <c r="S117" s="535"/>
      <c r="T117" s="535"/>
    </row>
    <row r="118" spans="12:21" x14ac:dyDescent="0.25">
      <c r="L118" s="535"/>
      <c r="M118" s="535"/>
      <c r="N118" s="535"/>
      <c r="O118" s="535"/>
      <c r="P118" s="535"/>
      <c r="Q118" s="535"/>
      <c r="R118" s="535"/>
      <c r="S118" s="535"/>
      <c r="T118" s="535"/>
    </row>
    <row r="119" spans="12:21" x14ac:dyDescent="0.25">
      <c r="L119" s="535"/>
      <c r="M119" s="535"/>
      <c r="N119" s="535"/>
      <c r="O119" s="535"/>
      <c r="P119" s="535"/>
      <c r="Q119" s="535"/>
      <c r="R119" s="535"/>
      <c r="S119" s="535"/>
      <c r="T119" s="535"/>
    </row>
    <row r="120" spans="12:21" x14ac:dyDescent="0.25">
      <c r="L120" s="535"/>
      <c r="M120" s="535"/>
      <c r="N120" s="535"/>
      <c r="O120" s="535"/>
      <c r="P120" s="535"/>
      <c r="Q120" s="535"/>
      <c r="R120" s="535"/>
      <c r="S120" s="535"/>
      <c r="T120" s="535"/>
    </row>
    <row r="121" spans="12:21" x14ac:dyDescent="0.25">
      <c r="L121" s="535"/>
      <c r="M121" s="535"/>
      <c r="N121" s="535"/>
      <c r="O121" s="535"/>
      <c r="P121" s="535"/>
      <c r="Q121" s="535"/>
      <c r="R121" s="535"/>
      <c r="S121" s="535"/>
      <c r="T121" s="535"/>
    </row>
    <row r="122" spans="12:21" x14ac:dyDescent="0.25">
      <c r="L122" s="535"/>
      <c r="M122" s="535"/>
      <c r="N122" s="535"/>
      <c r="O122" s="535"/>
      <c r="P122" s="535"/>
      <c r="Q122" s="535"/>
      <c r="R122" s="535"/>
      <c r="S122" s="535"/>
      <c r="T122" s="535"/>
    </row>
  </sheetData>
  <sheetProtection algorithmName="SHA-512" hashValue="C2cWse1Pid/imAVu49pz704MvGnbWT+ZSjIF7w9004EeYno7g39clLffU77WuvHRQ34h9zzfByFo25Cbsglgjw==" saltValue="YoX1afxHQrT4DI1A1gaptw==" spinCount="100000" sheet="1" objects="1" scenarios="1"/>
  <mergeCells count="34">
    <mergeCell ref="B2:D3"/>
    <mergeCell ref="L2:O3"/>
    <mergeCell ref="G5:J5"/>
    <mergeCell ref="Q5:T5"/>
    <mergeCell ref="B6:D6"/>
    <mergeCell ref="L6:O6"/>
    <mergeCell ref="B7:D7"/>
    <mergeCell ref="Q7:T7"/>
    <mergeCell ref="B8:D8"/>
    <mergeCell ref="G8:J8"/>
    <mergeCell ref="L8:O8"/>
    <mergeCell ref="Q8:T8"/>
    <mergeCell ref="C48:D48"/>
    <mergeCell ref="L10:O11"/>
    <mergeCell ref="B13:C14"/>
    <mergeCell ref="L16:O16"/>
    <mergeCell ref="C17:D17"/>
    <mergeCell ref="O17:R17"/>
    <mergeCell ref="L18:O18"/>
    <mergeCell ref="L19:O19"/>
    <mergeCell ref="C20:D20"/>
    <mergeCell ref="C34:D34"/>
    <mergeCell ref="C40:D40"/>
    <mergeCell ref="B45:D46"/>
    <mergeCell ref="L114:P114"/>
    <mergeCell ref="C58:D58"/>
    <mergeCell ref="F63:J63"/>
    <mergeCell ref="B64:C64"/>
    <mergeCell ref="L49:P49"/>
    <mergeCell ref="C50:D50"/>
    <mergeCell ref="C52:D52"/>
    <mergeCell ref="C53:D53"/>
    <mergeCell ref="C54:D54"/>
    <mergeCell ref="C56:D56"/>
  </mergeCells>
  <conditionalFormatting sqref="Q22">
    <cfRule type="containsText" dxfId="56" priority="4" operator="containsText" text="Tyydyttävä">
      <formula>NOT(ISERROR(SEARCH("Tyydyttävä",Q22)))</formula>
    </cfRule>
    <cfRule type="containsText" dxfId="55" priority="5" operator="containsText" text="Hyvä">
      <formula>NOT(ISERROR(SEARCH("Hyvä",Q22)))</formula>
    </cfRule>
    <cfRule type="containsText" dxfId="54" priority="6" operator="containsText" text="Heikko">
      <formula>NOT(ISERROR(SEARCH("Heikko",Q22)))</formula>
    </cfRule>
    <cfRule type="containsText" dxfId="53" priority="7" operator="containsText" text="Tyydyttävä">
      <formula>NOT(ISERROR(SEARCH("Tyydyttävä",Q22)))</formula>
    </cfRule>
    <cfRule type="containsText" dxfId="52" priority="8" operator="containsText" text="Hyvä">
      <formula>NOT(ISERROR(SEARCH("Hyvä",Q22)))</formula>
    </cfRule>
    <cfRule type="containsText" dxfId="51" priority="9" operator="containsText" text="Heikko">
      <formula>NOT(ISERROR(SEARCH("Heikko",Q22)))</formula>
    </cfRule>
    <cfRule type="containsText" dxfId="50" priority="49" operator="containsText" text="Hyvä">
      <formula>NOT(ISERROR(SEARCH("Hyvä",Q22)))</formula>
    </cfRule>
  </conditionalFormatting>
  <conditionalFormatting sqref="Q22:R22">
    <cfRule type="containsText" dxfId="49" priority="46" operator="containsText" text="Heikko">
      <formula>NOT(ISERROR(SEARCH("Heikko",Q22)))</formula>
    </cfRule>
  </conditionalFormatting>
  <conditionalFormatting sqref="Q22:S22">
    <cfRule type="containsText" dxfId="48" priority="42" operator="containsText" text="Tyydyttävä">
      <formula>NOT(ISERROR(SEARCH("Tyydyttävä",Q22)))</formula>
    </cfRule>
  </conditionalFormatting>
  <conditionalFormatting sqref="Q22:T22">
    <cfRule type="containsText" dxfId="47" priority="52" operator="containsText" text="Heikko">
      <formula>NOT(ISERROR(SEARCH("Heikko",Q22)))</formula>
    </cfRule>
    <cfRule type="containsText" dxfId="46" priority="51" operator="containsText" text="Hyvä">
      <formula>NOT(ISERROR(SEARCH("Hyvä",Q22)))</formula>
    </cfRule>
    <cfRule type="containsText" dxfId="45" priority="50" operator="containsText" text="Tyydyttävä">
      <formula>NOT(ISERROR(SEARCH("Tyydyttävä",Q22)))</formula>
    </cfRule>
  </conditionalFormatting>
  <conditionalFormatting sqref="Q28:T28">
    <cfRule type="containsText" dxfId="44" priority="2" operator="containsText" text="Tyydyttävä">
      <formula>NOT(ISERROR(SEARCH("Tyydyttävä",Q28)))</formula>
    </cfRule>
    <cfRule type="containsText" dxfId="43" priority="3" operator="containsText" text="Heikko">
      <formula>NOT(ISERROR(SEARCH("Heikko",Q28)))</formula>
    </cfRule>
    <cfRule type="containsText" dxfId="42" priority="1" operator="containsText" text="Hyvä">
      <formula>NOT(ISERROR(SEARCH("Hyvä",Q28)))</formula>
    </cfRule>
  </conditionalFormatting>
  <conditionalFormatting sqref="Q30:T30">
    <cfRule type="containsText" dxfId="41" priority="23" operator="containsText" text="Hyvä">
      <formula>NOT(ISERROR(SEARCH("Hyvä",Q30)))</formula>
    </cfRule>
    <cfRule type="containsText" dxfId="40" priority="24" operator="containsText" text="Tyydyttävä">
      <formula>NOT(ISERROR(SEARCH("Tyydyttävä",Q30)))</formula>
    </cfRule>
    <cfRule type="containsText" dxfId="39" priority="25" operator="containsText" text="Heikko">
      <formula>NOT(ISERROR(SEARCH("Heikko",Q30)))</formula>
    </cfRule>
    <cfRule type="containsText" dxfId="38" priority="35" operator="containsText" text="Hyvä">
      <formula>NOT(ISERROR(SEARCH("Hyvä",Q30)))</formula>
    </cfRule>
    <cfRule type="containsText" dxfId="37" priority="36" operator="containsText" text="Tyydyttävä">
      <formula>NOT(ISERROR(SEARCH("Tyydyttävä",Q30)))</formula>
    </cfRule>
    <cfRule type="containsText" dxfId="36" priority="37" operator="containsText" text="Heikko">
      <formula>NOT(ISERROR(SEARCH("Heikko",Q30)))</formula>
    </cfRule>
  </conditionalFormatting>
  <conditionalFormatting sqref="Q33:T33">
    <cfRule type="containsText" dxfId="35" priority="21" operator="containsText" text="Tyydyttävä">
      <formula>NOT(ISERROR(SEARCH("Tyydyttävä",Q33)))</formula>
    </cfRule>
    <cfRule type="containsText" dxfId="34" priority="22" operator="containsText" text="Heikko">
      <formula>NOT(ISERROR(SEARCH("Heikko",Q33)))</formula>
    </cfRule>
    <cfRule type="containsText" dxfId="33" priority="20" operator="containsText" text="Hyvä">
      <formula>NOT(ISERROR(SEARCH("Hyvä",Q33)))</formula>
    </cfRule>
  </conditionalFormatting>
  <conditionalFormatting sqref="Q36:T36">
    <cfRule type="containsText" dxfId="32" priority="19" operator="containsText" text="Heikko">
      <formula>NOT(ISERROR(SEARCH("Heikko",Q36)))</formula>
    </cfRule>
    <cfRule type="containsText" dxfId="31" priority="18" operator="containsText" text="Tyydyttävä">
      <formula>NOT(ISERROR(SEARCH("Tyydyttävä",Q36)))</formula>
    </cfRule>
    <cfRule type="containsText" dxfId="30" priority="17" operator="containsText" text="Hyvä">
      <formula>NOT(ISERROR(SEARCH("Hyvä",Q36)))</formula>
    </cfRule>
  </conditionalFormatting>
  <conditionalFormatting sqref="Q38:T38">
    <cfRule type="containsText" dxfId="29" priority="10" operator="containsText" text="Nettovelaton">
      <formula>NOT(ISERROR(SEARCH("Nettovelaton",Q38)))</formula>
    </cfRule>
    <cfRule type="containsText" dxfId="28" priority="11" operator="containsText" text="Nettovelaton">
      <formula>NOT(ISERROR(SEARCH("Nettovelaton",Q38)))</formula>
    </cfRule>
    <cfRule type="containsText" dxfId="27" priority="12" operator="containsText" text="Hyvä">
      <formula>NOT(ISERROR(SEARCH("Hyvä",Q38)))</formula>
    </cfRule>
    <cfRule type="containsText" dxfId="26" priority="13" operator="containsText" text="Heikko">
      <formula>NOT(ISERROR(SEARCH("Heikko",Q38)))</formula>
    </cfRule>
    <cfRule type="containsText" dxfId="25" priority="14" operator="containsText" text="Hyvä">
      <formula>NOT(ISERROR(SEARCH("Hyvä",Q38)))</formula>
    </cfRule>
    <cfRule type="containsText" dxfId="24" priority="16" operator="containsText" text="Heikko">
      <formula>NOT(ISERROR(SEARCH("Heikko",Q38)))</formula>
    </cfRule>
    <cfRule type="containsText" dxfId="23" priority="15" operator="containsText" text="Tyydyttävä">
      <formula>NOT(ISERROR(SEARCH("Tyydyttävä",Q38)))</formula>
    </cfRule>
  </conditionalFormatting>
  <conditionalFormatting sqref="R22:S22">
    <cfRule type="containsText" dxfId="22" priority="43" operator="containsText" text="Hyvä">
      <formula>NOT(ISERROR(SEARCH("Hyvä",R22)))</formula>
    </cfRule>
  </conditionalFormatting>
  <conditionalFormatting sqref="S22:T22">
    <cfRule type="containsText" dxfId="21" priority="40" operator="containsText" text="Heikko">
      <formula>NOT(ISERROR(SEARCH("Heikko",S22)))</formula>
    </cfRule>
  </conditionalFormatting>
  <conditionalFormatting sqref="T22">
    <cfRule type="containsText" dxfId="20" priority="38" operator="containsText" text="Hyvä">
      <formula>NOT(ISERROR(SEARCH("Hyvä",T22)))</formula>
    </cfRule>
    <cfRule type="containsText" dxfId="19" priority="39" operator="containsText" text="Tyydyttävä">
      <formula>NOT(ISERROR(SEARCH("Tyydyttävä",T22)))</formula>
    </cfRule>
  </conditionalFormatting>
  <printOptions horizontalCentered="1"/>
  <pageMargins left="0.25" right="0.25" top="0.75" bottom="0.75" header="0.3" footer="0.3"/>
  <pageSetup paperSize="9" scale="94" orientation="portrait" verticalDpi="4" r:id="rId1"/>
  <colBreaks count="1" manualBreakCount="1">
    <brk id="10" min="1" max="57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16</vt:i4>
      </vt:variant>
    </vt:vector>
  </HeadingPairs>
  <TitlesOfParts>
    <vt:vector size="30" baseType="lpstr">
      <vt:lpstr>OHJE</vt:lpstr>
      <vt:lpstr>1. T1 INVESTOINTISUUN.</vt:lpstr>
      <vt:lpstr>AT Kassa</vt:lpstr>
      <vt:lpstr>2. T7 LAINAT</vt:lpstr>
      <vt:lpstr>3. E1 KUSTANNUKSET</vt:lpstr>
      <vt:lpstr>4. E2 LIIKEVAIHTO</vt:lpstr>
      <vt:lpstr>AT1 Avustus, alv</vt:lpstr>
      <vt:lpstr>AT2 Lainat, alv</vt:lpstr>
      <vt:lpstr>5. T4 RAHOITUSSUUN.</vt:lpstr>
      <vt:lpstr>6. T3 TASE</vt:lpstr>
      <vt:lpstr>7. T2 TULOSSUUN.</vt:lpstr>
      <vt:lpstr>8. T5 KASSABUDJETTI</vt:lpstr>
      <vt:lpstr>Tulostussivu</vt:lpstr>
      <vt:lpstr>Kaaviot</vt:lpstr>
      <vt:lpstr>_3_2012</vt:lpstr>
      <vt:lpstr>'3. E1 KUSTANNUKSET'!Teksti37</vt:lpstr>
      <vt:lpstr>'3. E1 KUSTANNUKSET'!Teksti38</vt:lpstr>
      <vt:lpstr>'3. E1 KUSTANNUKSET'!Teksti39</vt:lpstr>
      <vt:lpstr>'1. T1 INVESTOINTISUUN.'!Tulostusalue</vt:lpstr>
      <vt:lpstr>'2. T7 LAINAT'!Tulostusalue</vt:lpstr>
      <vt:lpstr>'3. E1 KUSTANNUKSET'!Tulostusalue</vt:lpstr>
      <vt:lpstr>'4. E2 LIIKEVAIHTO'!Tulostusalue</vt:lpstr>
      <vt:lpstr>'5. T4 RAHOITUSSUUN.'!Tulostusalue</vt:lpstr>
      <vt:lpstr>'6. T3 TASE'!Tulostusalue</vt:lpstr>
      <vt:lpstr>'7. T2 TULOSSUUN.'!Tulostusalue</vt:lpstr>
      <vt:lpstr>'8. T5 KASSABUDJETTI'!Tulostusalue</vt:lpstr>
      <vt:lpstr>OHJE!Tulostusalue</vt:lpstr>
      <vt:lpstr>Tulostussivu!Tulostusalue</vt:lpstr>
      <vt:lpstr>'3. E1 KUSTANNUKSET'!Tulostusotsikot</vt:lpstr>
      <vt:lpstr>'6. T3 TASE'!Tulostusotsikot</vt:lpstr>
    </vt:vector>
  </TitlesOfParts>
  <Manager/>
  <Company>Yritystulkki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YT6 Aloittavan yrityksen tulossuunnitelma</dc:title>
  <dc:subject/>
  <dc:creator>Yritystulkki</dc:creator>
  <cp:keywords/>
  <dc:description/>
  <cp:lastModifiedBy>Tuunela Katri</cp:lastModifiedBy>
  <cp:revision/>
  <dcterms:created xsi:type="dcterms:W3CDTF">2006-08-01T10:09:48Z</dcterms:created>
  <dcterms:modified xsi:type="dcterms:W3CDTF">2023-06-21T08:02:11Z</dcterms:modified>
  <cp:category/>
  <cp:contentStatus/>
</cp:coreProperties>
</file>